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WR/2025-26/"/>
    </mc:Choice>
  </mc:AlternateContent>
  <xr:revisionPtr revIDLastSave="9330" documentId="8_{3D3F5B29-96F0-4AEA-817D-D8D06381284A}" xr6:coauthVersionLast="47" xr6:coauthVersionMax="47" xr10:uidLastSave="{A8A47473-5498-46C4-9E11-F19AB2329877}"/>
  <bookViews>
    <workbookView xWindow="-109" yWindow="-109" windowWidth="26301" windowHeight="14169" tabRatio="943" activeTab="8" xr2:uid="{00000000-000D-0000-FFFF-FFFF00000000}"/>
  </bookViews>
  <sheets>
    <sheet name="Sum" sheetId="20" r:id="rId1"/>
    <sheet name="Yr-By-Yr" sheetId="21" r:id="rId2"/>
    <sheet name="25-26 Sum" sheetId="25" r:id="rId3"/>
    <sheet name="Cards" sheetId="22" r:id="rId4"/>
    <sheet name="Form" sheetId="23" r:id="rId5"/>
    <sheet name="Stats" sheetId="4" r:id="rId6"/>
    <sheet name="Table" sheetId="6" r:id="rId7"/>
    <sheet name="Results" sheetId="24" r:id="rId8"/>
    <sheet name="BRI" sheetId="14" r:id="rId9"/>
    <sheet name="EXE" sheetId="10" r:id="rId10"/>
    <sheet name="GLO" sheetId="11" r:id="rId11"/>
    <sheet name="HAR" sheetId="17" r:id="rId12"/>
    <sheet name="LEI" sheetId="18" r:id="rId13"/>
    <sheet name="LOU" sheetId="19" r:id="rId14"/>
    <sheet name="SAL" sheetId="15" r:id="rId15"/>
    <sheet name="SAR" sheetId="9" r:id="rId16"/>
    <sheet name="TFW" sheetId="16" r:id="rId17"/>
  </sheets>
  <definedNames>
    <definedName name="_xlnm._FilterDatabase" localSheetId="6">Table!$A$2:$A$10</definedName>
    <definedName name="_Hlk481646626" localSheetId="6">Table!#REF!</definedName>
    <definedName name="bathbonus">SAR!$I$27</definedName>
    <definedName name="bathbonusccorrect">SAR!$H$33</definedName>
    <definedName name="bathconceded">SAR!$G$27</definedName>
    <definedName name="bathdrawn">SAR!$Z$27</definedName>
    <definedName name="bathdropgoals">SAR!$L$27</definedName>
    <definedName name="bathlost">SAR!$AA$27</definedName>
    <definedName name="bathpld">SAR!$X$27</definedName>
    <definedName name="bathpodrawn">SAR!#REF!</definedName>
    <definedName name="bathpolost">SAR!#REF!</definedName>
    <definedName name="bathpopld">SAR!#REF!</definedName>
    <definedName name="bathpoptsconceded">SAR!#REF!</definedName>
    <definedName name="bathpoptsscored">SAR!#REF!</definedName>
    <definedName name="bathpored">SAR!#REF!</definedName>
    <definedName name="bathpotriesconceded">SAR!#REF!</definedName>
    <definedName name="bathpotriesscored">SAR!#REF!</definedName>
    <definedName name="bathpowon">SAR!#REF!</definedName>
    <definedName name="bathpoyellow">SAR!#REF!</definedName>
    <definedName name="bathred">SAR!$O$27</definedName>
    <definedName name="bathscored">SAR!$F$27</definedName>
    <definedName name="bathtriesconceded">SAR!$R$27</definedName>
    <definedName name="bathtriesscored">SAR!$J$27</definedName>
    <definedName name="bathtrybonus">SAR!$H$27</definedName>
    <definedName name="bathtrybonusconceded">SAR!$P$27</definedName>
    <definedName name="bathwon">SAR!$Y$27</definedName>
    <definedName name="bathyellow">SAR!$N$27</definedName>
    <definedName name="BrieuropeYC">BRI!#REF!</definedName>
    <definedName name="Bristol_Rugbyhistplayed">#REF!</definedName>
    <definedName name="bristoleuropeseasontotalsdgs">BRI!#REF!</definedName>
    <definedName name="bristoleuropeseasontotalsdrawn">BRI!#REF!</definedName>
    <definedName name="bristoleuropeseasontotalslosingbonusconceded">BRI!#REF!</definedName>
    <definedName name="bristoleuropeseasontotalslosingbonusscored">BRI!#REF!</definedName>
    <definedName name="bristoleuropeseasontotalslost">BRI!#REF!</definedName>
    <definedName name="bristoleuropeseasontotalsplayed">BRI!#REF!</definedName>
    <definedName name="bristoleuropeseasontotalsptsagainst">BRI!#REF!</definedName>
    <definedName name="bristoleuropeseasontotalsptsscored">BRI!#REF!</definedName>
    <definedName name="bristoleuropeseasontotalsRC">BRI!#REF!</definedName>
    <definedName name="bristoleuropeseasontotalstriesconceded">BRI!#REF!</definedName>
    <definedName name="bristoleuropeseasontotalstriesscored">BRI!#REF!</definedName>
    <definedName name="bristoleuropeseasontotalstrybonussconceded">BRI!#REF!</definedName>
    <definedName name="bristoleuropeseasontotalstrybonusscored">BRI!#REF!</definedName>
    <definedName name="bristoleuropeseasontotalswon">BRI!#REF!</definedName>
    <definedName name="bristoleuropeseasontotalsYC">BRI!#REF!</definedName>
    <definedName name="Bristolpremseasontotalsdgs">BRI!$L$29</definedName>
    <definedName name="Bristolpremseasontotalsdrawn">BRI!$Z$29</definedName>
    <definedName name="Bristolpremseasontotalslost">BRI!$AA$29</definedName>
    <definedName name="Bristolpremseasontotalsplayed">BRI!$X$29</definedName>
    <definedName name="Bristolpremseasontotalsptsagainst">BRI!$G$29</definedName>
    <definedName name="Bristolpremseasontotalsptsscored">BRI!$F$29</definedName>
    <definedName name="BristolpremseasontotalsRC">BRI!$O$29</definedName>
    <definedName name="Bristolpremseasontotalstriesconceded">BRI!$R$29</definedName>
    <definedName name="Bristolpremseasontotalstriesscored">BRI!$J$29</definedName>
    <definedName name="Bristolpremseasontotalswon">BRI!$Y$29</definedName>
    <definedName name="BristolpremseasontotalsYC">BRI!$N$29</definedName>
    <definedName name="BristolPWRhistDrawn">Sum!$E$3</definedName>
    <definedName name="BristolPWRhistlost">Sum!$D$3</definedName>
    <definedName name="BristolPWRhistplayed">Sum!$B$3</definedName>
    <definedName name="BristolPWRhistPts_Aga">Sum!$H$3</definedName>
    <definedName name="BristolPWRhistPts_For">Sum!$G$3</definedName>
    <definedName name="BristolPWRhistwon">Sum!$C$3</definedName>
    <definedName name="bstagainst">BRI!$G$27</definedName>
    <definedName name="bstchampscuphistdgs">#REF!</definedName>
    <definedName name="bstchampscuphistdrawn">#REF!</definedName>
    <definedName name="bstchampscuphisteon">#REF!</definedName>
    <definedName name="bstchampscuphistlost">#REF!</definedName>
    <definedName name="bstchampscuphistplayed">#REF!</definedName>
    <definedName name="bstchampscuphistptsagainst">#REF!</definedName>
    <definedName name="bstchampscuphistptsscored">#REF!</definedName>
    <definedName name="bstchampscuphisttriesagainst">#REF!</definedName>
    <definedName name="bstchampscuphisttriesscored">#REF!</definedName>
    <definedName name="bstdrew">BRI!$Z$27</definedName>
    <definedName name="bstdropgoals">BRI!$L$27</definedName>
    <definedName name="bsteurochallcupdgs">BRI!#REF!</definedName>
    <definedName name="bsteurochallcupdrawn">BRI!#REF!</definedName>
    <definedName name="bsteurochallcuphistorydgs">#REF!</definedName>
    <definedName name="bsteurochallcuphistorydrawn">#REF!</definedName>
    <definedName name="bsteurochallcuphistorylost">#REF!</definedName>
    <definedName name="bsteurochallcuphistoryplayed">#REF!</definedName>
    <definedName name="bsteurochallcuphistoryptsagainst">#REF!</definedName>
    <definedName name="bsteurochallcuphistoryptsscored">#REF!</definedName>
    <definedName name="bsteurochallcuphistorytriesagainst">#REF!</definedName>
    <definedName name="bsteurochallcuphistorytriesscored">#REF!</definedName>
    <definedName name="bsteurochallcuphistorywon">#REF!</definedName>
    <definedName name="bsteurochallcuplost">BRI!#REF!</definedName>
    <definedName name="bsteurochallcupplayed">BRI!#REF!</definedName>
    <definedName name="bsteurochallcupptsagainst">BRI!#REF!</definedName>
    <definedName name="bsteurochallcupptsscored">BRI!#REF!</definedName>
    <definedName name="bsteurochallcuptriesagainst">BRI!#REF!</definedName>
    <definedName name="bsteurochallcuptriesscored">BRI!#REF!</definedName>
    <definedName name="bsteurochallcupwon">BRI!#REF!</definedName>
    <definedName name="Bsteuropeancuphistdgs">#REF!</definedName>
    <definedName name="Bsteuropeancuphistdrawn">#REF!</definedName>
    <definedName name="Bsteuropeancuphistlost">#REF!</definedName>
    <definedName name="Bsteuropeancuphistplayed">#REF!</definedName>
    <definedName name="Bsteuropeancuphistpointsscored">#REF!</definedName>
    <definedName name="Bsteuropeancuphistptsagainst">#REF!</definedName>
    <definedName name="Bsteuropeancuphisttriesagainst">#REF!</definedName>
    <definedName name="Bsteuropeancuphisttriesscored">#REF!</definedName>
    <definedName name="Bsteuropeancuphistwon">#REF!</definedName>
    <definedName name="bsthistagainst">#REF!</definedName>
    <definedName name="bsthistdgs">#REF!</definedName>
    <definedName name="bsthistdrawn">#REF!</definedName>
    <definedName name="bsthistfor">#REF!</definedName>
    <definedName name="bsthistlost">#REF!</definedName>
    <definedName name="bsthisttriesagainst">#REF!</definedName>
    <definedName name="bsthisttriescored">#REF!</definedName>
    <definedName name="bsthistwon">#REF!</definedName>
    <definedName name="bstlosingbonusconceded">BRI!$Q$27</definedName>
    <definedName name="bstlosingbonusscored">BRI!$I$27</definedName>
    <definedName name="bstlost">BRI!$AA$27</definedName>
    <definedName name="bstplayed">BRI!$X$27</definedName>
    <definedName name="bstred">BRI!$O$27</definedName>
    <definedName name="bstscored">BRI!$F$27</definedName>
    <definedName name="bsttriesconceded">BRI!$R$27</definedName>
    <definedName name="bsttriesscored">BRI!$J$27</definedName>
    <definedName name="bsttrybonusconceded">BRI!$P$27</definedName>
    <definedName name="bsttrybonusscored">BRI!$H$27</definedName>
    <definedName name="bstwon">BRI!$Y$27</definedName>
    <definedName name="bstyellow">BRI!$N$27</definedName>
    <definedName name="bthchallcupagainst">SAR!#REF!</definedName>
    <definedName name="bthchallcupdgs">SAR!#REF!</definedName>
    <definedName name="bthchallcupdrawn">SAR!#REF!</definedName>
    <definedName name="bthchallcuphistagainst">#REF!</definedName>
    <definedName name="bthchallcuphistdgs">#REF!</definedName>
    <definedName name="bthchallcuphistdrawn">#REF!</definedName>
    <definedName name="bthchallcuphistlost">#REF!</definedName>
    <definedName name="bthchallcuphistplayed">#REF!</definedName>
    <definedName name="bthchallcuphistscored">#REF!</definedName>
    <definedName name="bthchallcuphisttriesagainst">#REF!</definedName>
    <definedName name="bthchallcuphisttriesscored">#REF!</definedName>
    <definedName name="bthchallcuphistwon">#REF!</definedName>
    <definedName name="BthChallCupKOdgs">SAR!#REF!</definedName>
    <definedName name="BthChallCupKOlost">SAR!#REF!</definedName>
    <definedName name="BthChallCupKOplayed">SAR!#REF!</definedName>
    <definedName name="BthChallCupKOptsagainst">SAR!#REF!</definedName>
    <definedName name="BthChallCupKOptsscored">SAR!#REF!</definedName>
    <definedName name="BthChallCupKOtriescon">SAR!#REF!</definedName>
    <definedName name="BthChallCupKOtriesscored">SAR!#REF!</definedName>
    <definedName name="BthChallCupKOwon">SAR!#REF!</definedName>
    <definedName name="bthchallcuplost">SAR!#REF!</definedName>
    <definedName name="bthchallcupplayed">SAR!#REF!</definedName>
    <definedName name="bthchallcupscored">SAR!#REF!</definedName>
    <definedName name="bthchallcuptriesconceded">SAR!#REF!</definedName>
    <definedName name="bthchallcuptriesscored">SAR!#REF!</definedName>
    <definedName name="bthchallcuptriesscoredcorrect">SAR!#REF!</definedName>
    <definedName name="bthchallcupwon">SAR!#REF!</definedName>
    <definedName name="bthchampscuphistdgs">#REF!</definedName>
    <definedName name="bthchampscuphistdrawn">#REF!</definedName>
    <definedName name="bthchampscuphistlost">#REF!</definedName>
    <definedName name="bthchampscuphistplayed">#REF!</definedName>
    <definedName name="bthchampscuphistptsagainst">#REF!</definedName>
    <definedName name="bthchampscuphistptsscored">#REF!</definedName>
    <definedName name="bthchampscuphisttriesagainst">#REF!</definedName>
    <definedName name="bthchampscuphisttriesscored">#REF!</definedName>
    <definedName name="bthchampscuphistwon">#REF!</definedName>
    <definedName name="btheuropeancuphistagainst">#REF!</definedName>
    <definedName name="btheuropeancuphistdgs">#REF!</definedName>
    <definedName name="btheuropeancuphistdrawn">#REF!</definedName>
    <definedName name="btheuropeancuphistlost">#REF!</definedName>
    <definedName name="btheuropeancuphistplayed">#REF!</definedName>
    <definedName name="btheuropeancuphistscored">#REF!</definedName>
    <definedName name="btheuropeancuphisttriesagainst">#REF!</definedName>
    <definedName name="btheuropeancuphisttriesscored">#REF!</definedName>
    <definedName name="btheuropeancuphistwon">#REF!</definedName>
    <definedName name="btheuropeseasontotalsdgs">SAR!#REF!</definedName>
    <definedName name="btheuropeseasontotalsdrawn">SAR!#REF!</definedName>
    <definedName name="btheuropeseasontotalslosingbonusconceded">SAR!#REF!</definedName>
    <definedName name="btheuropeseasontotalslosingbonusscored">SAR!#REF!</definedName>
    <definedName name="btheuropeseasontotalslost">SAR!#REF!</definedName>
    <definedName name="btheuropeseasontotalsplayed">SAR!#REF!</definedName>
    <definedName name="btheuropeseasontotalsptsagainst">SAR!#REF!</definedName>
    <definedName name="btheuropeseasontotalsptsscored">SAR!#REF!</definedName>
    <definedName name="btheuropeseasontotalsRC">SAR!#REF!</definedName>
    <definedName name="btheuropeseasontotalstriesconceded">SAR!#REF!</definedName>
    <definedName name="btheuropeseasontotalstriesscored">SAR!#REF!</definedName>
    <definedName name="btheuropeseasontotalstrybonusconceded">SAR!#REF!</definedName>
    <definedName name="btheuropeseasontotalstrybonusscored">SAR!#REF!</definedName>
    <definedName name="btheuropeseasontotalswon">SAR!#REF!</definedName>
    <definedName name="btheuropeseasontotalsYC">SAR!#REF!</definedName>
    <definedName name="btheuropeYC">SAR!#REF!</definedName>
    <definedName name="Bthhistagainst">#REF!</definedName>
    <definedName name="Bthhistdgs">#REF!</definedName>
    <definedName name="Bthhistdrawn">#REF!</definedName>
    <definedName name="Bthhistfor">#REF!</definedName>
    <definedName name="Bthhistlost">#REF!</definedName>
    <definedName name="Bthhistplayed">#REF!</definedName>
    <definedName name="Bthhisttriesconceded">#REF!</definedName>
    <definedName name="Bthhisttriesscored">#REF!</definedName>
    <definedName name="Bthhistwon">#REF!</definedName>
    <definedName name="bthpodgsscored">SAR!$L$28</definedName>
    <definedName name="bthpolost">SAR!$AA$28</definedName>
    <definedName name="bthpoplayed">SAR!$X$28</definedName>
    <definedName name="bthpoptsagainst">SAR!$G$28</definedName>
    <definedName name="bthpoptsscored">SAR!$F$28</definedName>
    <definedName name="bthpored">SAR!$O$28</definedName>
    <definedName name="bthpotriesscored">SAR!$J$28</definedName>
    <definedName name="bthpotriesscoredcorrect">SAR!$R$28</definedName>
    <definedName name="bthpowon">SAR!$Y$28</definedName>
    <definedName name="bthpoyellow">SAR!$N$28</definedName>
    <definedName name="bthpremseasontotalsdgs">SAR!$L$29</definedName>
    <definedName name="bthpremseasontotalsdrawn">SAR!$Z$29</definedName>
    <definedName name="bthpremseasontotalslosingbonusconceded">SAR!$Q$29</definedName>
    <definedName name="bthpremseasontotalslosingbonuspointsscored">SAR!$I$29</definedName>
    <definedName name="bthpremseasontotalslost">SAR!$AA$29</definedName>
    <definedName name="bthpremseasontotalsplayed">SAR!$X$29</definedName>
    <definedName name="bthpremseasontotalsptsagainst">SAR!$G$29</definedName>
    <definedName name="bthpremseasontotalsptsscored">SAR!$F$29</definedName>
    <definedName name="bthpremseasontotalsRC">SAR!$O$29</definedName>
    <definedName name="bthpremseasontotalstriesconceded">SAR!$R$29</definedName>
    <definedName name="bthpremseasontotalstriesscored">SAR!$J$29</definedName>
    <definedName name="bthpremseasontotalstrybonusconceded">SAR!$P$29</definedName>
    <definedName name="bthpremseasontotalstrybonuspointsscored">SAR!$H$29</definedName>
    <definedName name="bthpremseasontotalswon">SAR!$X$29</definedName>
    <definedName name="bthpremseasontotalswoncorrect">SAR!$Y$29</definedName>
    <definedName name="bthpremseasontotalsYC">SAR!$N$29</definedName>
    <definedName name="Champions_Cup_2017_18_Cards">#REF!</definedName>
    <definedName name="dgs">#REF!</definedName>
    <definedName name="EALINGPWRDRAWN">TFW!$Z$24</definedName>
    <definedName name="EALINGPWRLBCONC">TFW!$Q$24</definedName>
    <definedName name="EALINGPWRLBFOR">TFW!$I$24</definedName>
    <definedName name="EALINGPWRLOST">TFW!$AA$24</definedName>
    <definedName name="EALINGPWRPLAYED">TFW!$X$24</definedName>
    <definedName name="EALINGPWRPTSCONC">TFW!$G$24</definedName>
    <definedName name="EALINGPWRPTSSCORED">TFW!$F$24</definedName>
    <definedName name="EALINGPWRTBCONC">TFW!$P$24</definedName>
    <definedName name="EALINGPWRTBFOR">TFW!$H$24</definedName>
    <definedName name="EALINGPWRTRIESCONC">TFW!$R$24</definedName>
    <definedName name="EALINGPWRTRIESSCORED">TFW!$J$24</definedName>
    <definedName name="EALINGPWRWON">TFW!$Y$24</definedName>
    <definedName name="Exechampscupdgs">EXE!#REF!</definedName>
    <definedName name="Exechampscupdrawn">EXE!#REF!</definedName>
    <definedName name="exechampscuphistdgs">#REF!</definedName>
    <definedName name="exechampscuphistdrawn">#REF!</definedName>
    <definedName name="exechampscuphistlost">#REF!</definedName>
    <definedName name="exechampscuphistplayed">#REF!</definedName>
    <definedName name="exechampscuphistptsagainst">#REF!</definedName>
    <definedName name="exechampscuphistptsscored">#REF!</definedName>
    <definedName name="exechampscuphisttrieseagainst">#REF!</definedName>
    <definedName name="exechampscuphisttriesscored">#REF!</definedName>
    <definedName name="exechampscuphistwon">#REF!</definedName>
    <definedName name="Exechampscuplost">EXE!#REF!</definedName>
    <definedName name="Exechampscupplayed">EXE!#REF!</definedName>
    <definedName name="Exechampscuppointsscored">EXE!#REF!</definedName>
    <definedName name="Exechampscupptsagainst">EXE!#REF!</definedName>
    <definedName name="Exechampscuptriesconceded">EXE!#REF!</definedName>
    <definedName name="Exechampscuptriesscored">EXE!#REF!</definedName>
    <definedName name="Exechampscupwon">EXE!#REF!</definedName>
    <definedName name="exedropgoals">EXE!#REF!</definedName>
    <definedName name="Exeeuropeancuphistdgs">#REF!</definedName>
    <definedName name="Exeeuropeancuphistdrawn">#REF!</definedName>
    <definedName name="Exeeuropeancuphistlost">#REF!</definedName>
    <definedName name="Exeeuropeancuphistplayed">#REF!</definedName>
    <definedName name="Exeeuropeancuphistptsagainst">#REF!</definedName>
    <definedName name="Exeeuropeancuphistptsscored">#REF!</definedName>
    <definedName name="Exeeuropeancuphisttriesagainst">#REF!</definedName>
    <definedName name="Exeeuropeancuphisttriesscored">#REF!</definedName>
    <definedName name="Exeeuropeancuphistwon">#REF!</definedName>
    <definedName name="Exeeuropeancupplayed">EXE!#REF!</definedName>
    <definedName name="exeeuropeYC">EXE!#REF!</definedName>
    <definedName name="exepolost">EXE!#REF!</definedName>
    <definedName name="exepopld">EXE!#REF!</definedName>
    <definedName name="exepoptsag">EXE!#REF!</definedName>
    <definedName name="exepoptsscored">EXE!#REF!</definedName>
    <definedName name="exepored">EXE!#REF!</definedName>
    <definedName name="exepotriescon">EXE!#REF!</definedName>
    <definedName name="exepotriesscored">EXE!#REF!</definedName>
    <definedName name="exepowon">EXE!#REF!</definedName>
    <definedName name="exepoyellow">EXE!#REF!</definedName>
    <definedName name="Exepremhist">#REF!</definedName>
    <definedName name="exepremhistdgsscored">#REF!</definedName>
    <definedName name="exepremhistdrawn">#REF!</definedName>
    <definedName name="exepremhistlost">#REF!</definedName>
    <definedName name="exepremhistptsagainst">#REF!</definedName>
    <definedName name="exepremhistptsscored">#REF!</definedName>
    <definedName name="exepremhisttriesagainst">#REF!</definedName>
    <definedName name="exepremhisttriesscored">#REF!</definedName>
    <definedName name="exepremhistwon">#REF!</definedName>
    <definedName name="exeprempodgs">EXE!$L$27</definedName>
    <definedName name="exeprempolost">EXE!$AA$27</definedName>
    <definedName name="exeprempoplayed">EXE!$X$27</definedName>
    <definedName name="exeprempoptsagainst">EXE!$G$27</definedName>
    <definedName name="exeprempoptsscored">EXE!$F$27</definedName>
    <definedName name="exeprempoRC">EXE!$O$27</definedName>
    <definedName name="exeprempotriesagainst">EXE!$R$27</definedName>
    <definedName name="exeprempotriesscored">EXE!$J$27</definedName>
    <definedName name="exeprempowon">EXE!$Y$27</definedName>
    <definedName name="exeprempoYC">EXE!$N$27</definedName>
    <definedName name="Exepremtotalsdgs">EXE!$L$28</definedName>
    <definedName name="Exepremtotalslost">EXE!$AA$28</definedName>
    <definedName name="Exepremtotalsplayed">EXE!$X$28</definedName>
    <definedName name="Exepremtotalsptsagainst">EXE!$G$28</definedName>
    <definedName name="Exepremtotalsptsscored">EXE!$F$28</definedName>
    <definedName name="Exepremtotalsrc">EXE!$O$28</definedName>
    <definedName name="Exepremtotalstriesconceded">EXE!$R$28</definedName>
    <definedName name="Exepremtotalstriesscored">EXE!$J$28</definedName>
    <definedName name="Exepremtotalswon">EXE!$Y$28</definedName>
    <definedName name="Exepremtotalsyc">EXE!$N$28</definedName>
    <definedName name="exeterbonus">EXE!#REF!</definedName>
    <definedName name="exeterconceded">EXE!#REF!</definedName>
    <definedName name="exeterdrawn">EXE!#REF!</definedName>
    <definedName name="exetereuropeseasontotalsdgs">EXE!#REF!</definedName>
    <definedName name="exetereuropeseasontotalsdrawn">EXE!#REF!</definedName>
    <definedName name="exetereuropeseasontotalslosingbonusconceded">EXE!#REF!</definedName>
    <definedName name="exetereuropeseasontotalslost">EXE!#REF!</definedName>
    <definedName name="exetereuropeseasontotalsplayed">EXE!#REF!</definedName>
    <definedName name="exetereuropeseasontotalsptsagainst">EXE!#REF!</definedName>
    <definedName name="exetereuropeseasontotalsptsscored">EXE!#REF!</definedName>
    <definedName name="exetereuropeseasontotalsRC">EXE!#REF!</definedName>
    <definedName name="exetereuropeseasontotalstlosingbonusscored">EXE!#REF!</definedName>
    <definedName name="exetereuropeseasontotalstriesconceded">EXE!#REF!</definedName>
    <definedName name="exetereuropeseasontotalstriesscored">EXE!#REF!</definedName>
    <definedName name="exetereuropeseasontotalstrybonusconceded">EXE!#REF!</definedName>
    <definedName name="exetereuropeseasontotalstrybonusscored">EXE!#REF!</definedName>
    <definedName name="exetereuropeseasontotalswon">EXE!#REF!</definedName>
    <definedName name="exetereuropeseasontotalsYC">EXE!#REF!</definedName>
    <definedName name="exeterlosingbonus">EXE!#REF!</definedName>
    <definedName name="exeterlosingbonusconceded">EXE!#REF!</definedName>
    <definedName name="exeterlost">EXE!#REF!</definedName>
    <definedName name="exeterpld">EXE!#REF!</definedName>
    <definedName name="exeterpremdrawn">EXE!$Z$26</definedName>
    <definedName name="exeterpremdropgoalsscored">EXE!$L$26</definedName>
    <definedName name="exeterpremlosingbonusconc">EXE!$Q$26</definedName>
    <definedName name="exeterpremlosingbonusscored">EXE!$I$26</definedName>
    <definedName name="exeterpremlost">EXE!$AA$26</definedName>
    <definedName name="exeterpremplayed">EXE!$X$26</definedName>
    <definedName name="exeterpremptsagainst">EXE!$G$26</definedName>
    <definedName name="exeterpremptsscored">EXE!$F$26</definedName>
    <definedName name="exeterpremred">EXE!$O$26</definedName>
    <definedName name="exeterpremtriesconc">EXE!$R$26</definedName>
    <definedName name="exeterpremtriesscored">EXE!$J$26</definedName>
    <definedName name="exeterpremtrybonusconc">EXE!$P$26</definedName>
    <definedName name="exeterpremtrybonusscored">EXE!$H$26</definedName>
    <definedName name="exeterpremwon">EXE!$Y$26</definedName>
    <definedName name="exeterpremyellow">EXE!$N$26</definedName>
    <definedName name="ExeterPWRhistdrawn">Sum!$E$5</definedName>
    <definedName name="ExeterPWRhistlost">Sum!$D$5</definedName>
    <definedName name="ExeterPWRhistplayed">Sum!$B$5</definedName>
    <definedName name="ExeterPWRhistptsaga">Sum!$H$5</definedName>
    <definedName name="ExeterPWRhistptsfor">Sum!$G$5</definedName>
    <definedName name="ExeterPWRhistwon">Sum!$C$5</definedName>
    <definedName name="exeterred">EXE!#REF!</definedName>
    <definedName name="exeterscored">EXE!#REF!</definedName>
    <definedName name="exetertriesconceded">EXE!#REF!</definedName>
    <definedName name="exetertriesscored">EXE!#REF!</definedName>
    <definedName name="exetertrybonusconceded">EXE!#REF!</definedName>
    <definedName name="exetertrybonusscored">EXE!#REF!</definedName>
    <definedName name="exeterwon">EXE!#REF!</definedName>
    <definedName name="exeteryellow">EXE!#REF!</definedName>
    <definedName name="glochallcupdgs">GLO!#REF!</definedName>
    <definedName name="glochallcupdrawn">GLO!#REF!</definedName>
    <definedName name="glochallcuphistdgs">#REF!</definedName>
    <definedName name="glochallcuphistdrawn">#REF!</definedName>
    <definedName name="glochallcuphistlost">#REF!</definedName>
    <definedName name="glochallcuphistplayed">#REF!</definedName>
    <definedName name="glochallcuphistptsagainst">#REF!</definedName>
    <definedName name="glochallcuphistptsscored">#REF!</definedName>
    <definedName name="glochallcuphisttriesagainst">#REF!</definedName>
    <definedName name="glochallcuphisttriesscored">#REF!</definedName>
    <definedName name="glochallcuphistwon">#REF!</definedName>
    <definedName name="glochallcuplost">GLO!#REF!</definedName>
    <definedName name="glochallcupplayed">GLO!#REF!</definedName>
    <definedName name="glochallcuppltsscored">GLO!#REF!</definedName>
    <definedName name="glochallcupptsagainst">GLO!#REF!</definedName>
    <definedName name="glochallcuptriesagainst">GLO!#REF!</definedName>
    <definedName name="glochallcuptriesscored">GLO!#REF!</definedName>
    <definedName name="glochallcupwon">GLO!#REF!</definedName>
    <definedName name="glochampscuphistdgs">#REF!</definedName>
    <definedName name="glochampscuphistdrawn">#REF!</definedName>
    <definedName name="glochampscuphistlost">#REF!</definedName>
    <definedName name="Glochampscuphistplayed">#REF!</definedName>
    <definedName name="glochampscuphistptsagainst">#REF!</definedName>
    <definedName name="glochampscuphistptsscored">#REF!</definedName>
    <definedName name="glochampscuphisttriesagainst">#REF!</definedName>
    <definedName name="glochampscuphisttriesscored">#REF!</definedName>
    <definedName name="glochampscuphistwon">#REF!</definedName>
    <definedName name="glochampscuppohistdgs">#REF!</definedName>
    <definedName name="glochampscuppohistdrawn">#REF!</definedName>
    <definedName name="glochampscuppohistlost">#REF!</definedName>
    <definedName name="glochampscuppohistplayed">#REF!</definedName>
    <definedName name="glochampscuppohistptsagainst">#REF!</definedName>
    <definedName name="glochampscuppohistptsscored">#REF!</definedName>
    <definedName name="glochampscuppohisttriesagainst">#REF!</definedName>
    <definedName name="glochampscuppohisttriesscored">#REF!</definedName>
    <definedName name="glochampscuppohistwon">#REF!</definedName>
    <definedName name="glodg">GLO!#REF!</definedName>
    <definedName name="Gloeuropeancuphistdgs">#REF!</definedName>
    <definedName name="Gloeuropeancuphistdrawn">#REF!</definedName>
    <definedName name="Gloeuropeancuphistlost">#REF!</definedName>
    <definedName name="Gloeuropeancuphistplayed">#REF!</definedName>
    <definedName name="Gloeuropeancuphistptsagainst">#REF!</definedName>
    <definedName name="Gloeuropeancuphistptsscored">#REF!</definedName>
    <definedName name="Gloeuropeancuphisttriesagainst">#REF!</definedName>
    <definedName name="Gloeuropeancuphisttriesscored">#REF!</definedName>
    <definedName name="Gloeuropeancuphistwon">#REF!</definedName>
    <definedName name="glosbonus">GLO!#REF!</definedName>
    <definedName name="glosconceded">GLO!#REF!</definedName>
    <definedName name="glosdrawn">GLO!#REF!</definedName>
    <definedName name="gloslosingbonus">GLO!#REF!</definedName>
    <definedName name="gloslosingbonusconceded">GLO!#REF!</definedName>
    <definedName name="gloslost">GLO!#REF!</definedName>
    <definedName name="glosplayed">GLO!#REF!</definedName>
    <definedName name="GlosPremhistdgs">#REF!</definedName>
    <definedName name="GlosPremhistdrawn">#REF!</definedName>
    <definedName name="GlosPremhistlost">#REF!</definedName>
    <definedName name="GlosPremhistplayed">#REF!</definedName>
    <definedName name="GlosPremhistptsagainst">#REF!</definedName>
    <definedName name="GlosPremhistptsscored">#REF!</definedName>
    <definedName name="GlosPremhisttriesagainst">#REF!</definedName>
    <definedName name="GlosPremhisttriesscored">#REF!</definedName>
    <definedName name="GlosPremhistwon">#REF!</definedName>
    <definedName name="glosred">GLO!#REF!</definedName>
    <definedName name="glosscored">GLO!#REF!</definedName>
    <definedName name="glostries">GLO!#REF!</definedName>
    <definedName name="glostriesconceded">GLO!#REF!</definedName>
    <definedName name="glostrybonus">GLO!#REF!</definedName>
    <definedName name="glostrybonusconceded">GLO!#REF!</definedName>
    <definedName name="gloswon">GLO!#REF!</definedName>
    <definedName name="glosyellow">GLO!#REF!</definedName>
    <definedName name="gloucestereuropeseasontotalsdgs">GLO!#REF!</definedName>
    <definedName name="gloucestereuropeseasontotalsdrawn">GLO!#REF!</definedName>
    <definedName name="gloucestereuropeseasontotalslosingbonusconceded">GLO!#REF!</definedName>
    <definedName name="gloucestereuropeseasontotalslosingbonusscored">GLO!#REF!</definedName>
    <definedName name="gloucestereuropeseasontotalslost">GLO!#REF!</definedName>
    <definedName name="gloucestereuropeseasontotalsplayed">GLO!#REF!</definedName>
    <definedName name="gloucestereuropeseasontotalsptsagainst">GLO!#REF!</definedName>
    <definedName name="gloucestereuropeseasontotalsptsscored">GLO!#REF!</definedName>
    <definedName name="gloucestereuropeseasontotalsRC">GLO!#REF!</definedName>
    <definedName name="gloucestereuropeseasontotalstriesconceded">GLO!#REF!</definedName>
    <definedName name="gloucestereuropeseasontotalstriesscored">GLO!#REF!</definedName>
    <definedName name="gloucestereuropeseasontotalstrybonusconceded">GLO!#REF!</definedName>
    <definedName name="gloucestereuropeseasontotalstrybonusscored">GLO!#REF!</definedName>
    <definedName name="gloucestereuropeseasontotalswon">GLO!#REF!</definedName>
    <definedName name="gloucestereuropeseasontotalsYC">GLO!#REF!</definedName>
    <definedName name="gloucesterpremdrawsn">GLO!$Z$24</definedName>
    <definedName name="gloucesterpremdropgoalsscored">GLO!$L$24</definedName>
    <definedName name="gloucesterpremlosingbonusconc">GLO!$Q$24</definedName>
    <definedName name="gloucesterpremlosingbonusscored">GLO!$I$24</definedName>
    <definedName name="gloucesterpremlost">GLO!$AA$24</definedName>
    <definedName name="gloucesterpremplayed">GLO!$X$24</definedName>
    <definedName name="gloucesterpremptsagainst">GLO!$G$24</definedName>
    <definedName name="gloucesterpremptsscored">GLO!$F$24</definedName>
    <definedName name="gloucesterpremred">GLO!$O$24</definedName>
    <definedName name="gloucesterpremseasontotalsdgs">GLO!$L$26</definedName>
    <definedName name="gloucesterpremseasontotalsdrawn">GLO!$Z$26</definedName>
    <definedName name="gloucesterpremseasontotalslost">GLO!$AA$26</definedName>
    <definedName name="gloucesterpremseasontotalsplayed">GLO!$X$26</definedName>
    <definedName name="gloucesterpremseasontotalsptsagainst">GLO!$G$26</definedName>
    <definedName name="gloucesterpremseasontotalsptsscored">GLO!$F$26</definedName>
    <definedName name="gloucesterpremseasontotalsRC">GLO!$O$26</definedName>
    <definedName name="gloucesterpremseasontotalstriesconceded">GLO!$R$26</definedName>
    <definedName name="gloucesterpremseasontotalstriesscored">GLO!$J$26</definedName>
    <definedName name="gloucesterpremseasontotalswon">GLO!$Y$26</definedName>
    <definedName name="gloucesterpremseasontotalsYC">GLO!$N$26</definedName>
    <definedName name="gloucesterpremtriesconc">GLO!$R$24</definedName>
    <definedName name="gloucesterpremtriesscored">GLO!$J$24</definedName>
    <definedName name="gloucesterpremtrybonusconc">GLO!$P$24</definedName>
    <definedName name="gloucesterpremtrybonusscored">GLO!$H$24</definedName>
    <definedName name="gloucesterpremwon">GLO!$Y$24</definedName>
    <definedName name="gloucesterpremyellow">GLO!$N$24</definedName>
    <definedName name="GloucesterPWRhistdrawn">Sum!$E$6</definedName>
    <definedName name="GloucesterPWRhistlost">Sum!$D$6</definedName>
    <definedName name="GloucesterPWRhistplayed">Sum!$B$6</definedName>
    <definedName name="GloucesterPWRhistptsaga">Sum!$H$6</definedName>
    <definedName name="GloucesterPWRhistptsfor">Sum!$G$6</definedName>
    <definedName name="GloucesterPWRhistwon">Sum!$C$6</definedName>
    <definedName name="harbonus">#REF!</definedName>
    <definedName name="Harchallcupdgs">#REF!</definedName>
    <definedName name="Harchallcupdrawn">#REF!</definedName>
    <definedName name="Harchallcuplost">#REF!</definedName>
    <definedName name="Harchallcupplayed">#REF!</definedName>
    <definedName name="Harchallcupptsagainst">#REF!</definedName>
    <definedName name="Harchallcupptsscored">#REF!</definedName>
    <definedName name="Harchallcuptriesagainst">#REF!</definedName>
    <definedName name="Harchallcuptriesscored">#REF!</definedName>
    <definedName name="Harchallcupwon">#REF!</definedName>
    <definedName name="harchampscuphistdgs">#REF!</definedName>
    <definedName name="harchampscuphistdrawn">#REF!</definedName>
    <definedName name="harchampscuphistlost">#REF!</definedName>
    <definedName name="harchampscuphistplayed">#REF!</definedName>
    <definedName name="harchampscuphistptsagainst">#REF!</definedName>
    <definedName name="harchampscuphistptsscored">#REF!</definedName>
    <definedName name="harchampscuphisttriesagainst">#REF!</definedName>
    <definedName name="harchampscuphisttriesscored">#REF!</definedName>
    <definedName name="harchampscuphistwon">#REF!</definedName>
    <definedName name="harchampscuppohistdgs">#REF!</definedName>
    <definedName name="harchampscuppohistdrawn">#REF!</definedName>
    <definedName name="harchampscuppohistlost">#REF!</definedName>
    <definedName name="harchampscuppohistplayed">#REF!</definedName>
    <definedName name="harchampscuppohistptsagainst">#REF!</definedName>
    <definedName name="harchampscuppohistptsscored">#REF!</definedName>
    <definedName name="harchampscuppohisttriesagainst">#REF!</definedName>
    <definedName name="harchampscuppohisttriesscopred">#REF!</definedName>
    <definedName name="harchampscuppohistwon">#REF!</definedName>
    <definedName name="harchampscuppoolagainst">#REF!</definedName>
    <definedName name="harchampscuppooldgs">#REF!</definedName>
    <definedName name="harchampscuppooldrawn">#REF!</definedName>
    <definedName name="harchampscuppoollost">#REF!</definedName>
    <definedName name="harchampscuppoolplayed">#REF!</definedName>
    <definedName name="harchampscuppoolscored">#REF!</definedName>
    <definedName name="harchampscuppooltriesagainst">#REF!</definedName>
    <definedName name="harchampscuppooltriesscored">#REF!</definedName>
    <definedName name="harchampscuppoolwon">#REF!</definedName>
    <definedName name="harconceded">#REF!</definedName>
    <definedName name="hardg">#REF!</definedName>
    <definedName name="hardrawn">#REF!</definedName>
    <definedName name="hareuropeancuphistdgs">#REF!</definedName>
    <definedName name="hareuropeancuphistdrawn">#REF!</definedName>
    <definedName name="hareuropeancuphistlost">#REF!</definedName>
    <definedName name="hareuropeancuphistplayed">#REF!</definedName>
    <definedName name="hareuropeancuphistptsagainst">#REF!</definedName>
    <definedName name="hareuropeancuphistptsscored">#REF!</definedName>
    <definedName name="hareuropeancuphisttriesagainst">#REF!</definedName>
    <definedName name="hareuropeancuphisttriesscored">#REF!</definedName>
    <definedName name="hareuropeancuphistwon">#REF!</definedName>
    <definedName name="harlequinseuropeseasontotalsdgs">#REF!</definedName>
    <definedName name="harlequinseuropeseasontotalsdgscorrect">#REF!</definedName>
    <definedName name="harlequinseuropeseasontotalsdrawn">#REF!</definedName>
    <definedName name="harlequinseuropeseasontotalslosingbonusconceded">#REF!</definedName>
    <definedName name="harlequinseuropeseasontotalslosingbonusscored">#REF!</definedName>
    <definedName name="harlequinseuropeseasontotalslost">#REF!</definedName>
    <definedName name="harlequinseuropeseasontotalsplayed">#REF!</definedName>
    <definedName name="harlequinseuropeseasontotalsptsagainst">#REF!</definedName>
    <definedName name="harlequinseuropeseasontotalsptsscored">#REF!</definedName>
    <definedName name="harlequinseuropeseasontotalsRC">#REF!</definedName>
    <definedName name="harlequinseuropeseasontotalsRCorrect">#REF!</definedName>
    <definedName name="harlequinseuropeseasontotalstriesconceded">#REF!</definedName>
    <definedName name="harlequinseuropeseasontotalstriesscored">#REF!</definedName>
    <definedName name="harlequinseuropeseasontotalstriesscoredcorrect">#REF!</definedName>
    <definedName name="harlequinseuropeseasontotalstrybonusconceded">#REF!</definedName>
    <definedName name="harlequinseuropeseasontotalstrybonusscored">#REF!</definedName>
    <definedName name="harlequinseuropeseasontotalswon">#REF!</definedName>
    <definedName name="harlequinseuropeseasontotalsYC">#REF!</definedName>
    <definedName name="harlequinseuropeseasontotalsYCcorrect">#REF!</definedName>
    <definedName name="harlequinspremdrawn">#REF!</definedName>
    <definedName name="harlequinspremdropgoalsscored">#REF!</definedName>
    <definedName name="harlequinspremlosingbonbusconc">#REF!</definedName>
    <definedName name="harlequinspremlosingbonusscored">#REF!</definedName>
    <definedName name="harlequinspremlost">#REF!</definedName>
    <definedName name="harlequinspremplayed">#REF!</definedName>
    <definedName name="harlequinspremplayedcorrect">#REF!</definedName>
    <definedName name="harlequinspremplayedthisone">#REF!</definedName>
    <definedName name="harlequinspremptsagaiants">#REF!</definedName>
    <definedName name="harlequinspremptsscored">#REF!</definedName>
    <definedName name="harlequinspremred">#REF!</definedName>
    <definedName name="harlequinspremseasontotalsdgs">#REF!</definedName>
    <definedName name="harlequinspremseasontotalsdrawn">#REF!</definedName>
    <definedName name="harlequinspremseasontotalslost">#REF!</definedName>
    <definedName name="harlequinspremseasontotalsplayed">#REF!</definedName>
    <definedName name="harlequinspremseasontotalsptsagainst">#REF!</definedName>
    <definedName name="harlequinspremseasontotalsptsscored">#REF!</definedName>
    <definedName name="harlequinspremseasontotalsRC">#REF!</definedName>
    <definedName name="harlequinspremseasontotalstriesconceded">#REF!</definedName>
    <definedName name="harlequinspremseasontotalstriesscored">#REF!</definedName>
    <definedName name="harlequinspremseasontotalswon">#REF!</definedName>
    <definedName name="harlequinspremseasontotalsYC">#REF!</definedName>
    <definedName name="harlequinspremtriesconc">#REF!</definedName>
    <definedName name="harlequinspremtriesscored">#REF!</definedName>
    <definedName name="harlequinspremtrybonuscon">#REF!</definedName>
    <definedName name="harlequinspremtrybonusscored">#REF!</definedName>
    <definedName name="harlequinspremwon">#REF!</definedName>
    <definedName name="harlequinspremyellow">#REF!</definedName>
    <definedName name="HARLEQUINSPWRDRAWN">HAR!$Z$26</definedName>
    <definedName name="HarlequinsPWRhistdrawn">Sum!$E$7</definedName>
    <definedName name="HarlequinsPWRhistlost">Sum!$D$7</definedName>
    <definedName name="HarlequinsPWRhistplayed">Sum!$B$7</definedName>
    <definedName name="HarlequinsPWRhistptsaga">Sum!$H$7</definedName>
    <definedName name="HarlequinsPWRhistptsfor">Sum!$G$7</definedName>
    <definedName name="HarlequinsPWRhistwon">Sum!$C$7</definedName>
    <definedName name="HARLEQUINSPWRLBCONC">HAR!$Q$26</definedName>
    <definedName name="HARLEQUINSPWRLBSCORED">HAR!$I$26</definedName>
    <definedName name="HARLEQUINSPWRLOST">HAR!$AA$26</definedName>
    <definedName name="HARLEQUINSPWRPLAYED">HAR!$X$26</definedName>
    <definedName name="HARLEQUINSPWRPTSCONC">HAR!$G$26</definedName>
    <definedName name="HARLEQUINSPWRPTSSCORED">HAR!$F$26</definedName>
    <definedName name="harlequinspwrseasontotalstriesconceded">HAR!$R$28</definedName>
    <definedName name="harlequinspwrseasontotalstriesscored">HAR!$J$28</definedName>
    <definedName name="HARLEQUINSPWRTBCONC">HAR!$P$26</definedName>
    <definedName name="HARLEQUINSPWRTBSCORED">HAR!$H$26</definedName>
    <definedName name="HARLEQUINSPWRTRIESCONC">HAR!$R$26</definedName>
    <definedName name="HARLEQUINSPWRTRIESSCORED">HAR!$J$26</definedName>
    <definedName name="HARLEQUINSPWRWON">HAR!$Y$26</definedName>
    <definedName name="harlosingbonus">#REF!</definedName>
    <definedName name="harlosingbonusconceded">#REF!</definedName>
    <definedName name="harlost">#REF!</definedName>
    <definedName name="harplayed">#REF!</definedName>
    <definedName name="harpremhistdgs">#REF!</definedName>
    <definedName name="harpremhistdrawn">#REF!</definedName>
    <definedName name="harpremhistlost">#REF!</definedName>
    <definedName name="harpremhistplayed">#REF!</definedName>
    <definedName name="harpremhistptsagainst">#REF!</definedName>
    <definedName name="harpremhistptsscored">#REF!</definedName>
    <definedName name="harpremhisttriesagainst">#REF!</definedName>
    <definedName name="harpremhisttriesscored">#REF!</definedName>
    <definedName name="harpremhistwon">#REF!</definedName>
    <definedName name="harpremseasontotalsdrawn">HAR!$Z$28</definedName>
    <definedName name="harpremseasontotalslost">HAR!$AA$28</definedName>
    <definedName name="harpremseasontotalsplayed">HAR!$X$28</definedName>
    <definedName name="harpremseasontotalsptsagaintss">HAR!$G$28</definedName>
    <definedName name="harpremseasontotalsptsscored">HAR!$F$28</definedName>
    <definedName name="harpremseasontotalswon">HAR!$Y$28</definedName>
    <definedName name="harred">#REF!</definedName>
    <definedName name="harscored">#REF!</definedName>
    <definedName name="hartriesconceded">#REF!</definedName>
    <definedName name="hartriesscored">#REF!</definedName>
    <definedName name="hartrybonus">#REF!</definedName>
    <definedName name="hartrybonusconceded">#REF!</definedName>
    <definedName name="harwon">#REF!</definedName>
    <definedName name="haryellow">#REF!</definedName>
    <definedName name="Hqpremhistdgs">#REF!</definedName>
    <definedName name="Hqpremhistdrawn">#REF!</definedName>
    <definedName name="Hqpremhistlost">#REF!</definedName>
    <definedName name="Hqpremhistplayed">#REF!</definedName>
    <definedName name="Hqpremhistptsagainst">#REF!</definedName>
    <definedName name="Hqpremhistptsscored">#REF!</definedName>
    <definedName name="Hqpremhisttriesagainst">#REF!</definedName>
    <definedName name="Hqpremhisttriesscored">#REF!</definedName>
    <definedName name="Hqpremhistwon">#REF!</definedName>
    <definedName name="leicestereuropeseasontotalsdgs">#REF!</definedName>
    <definedName name="leicestereuropeseasontotalsdrawn">#REF!</definedName>
    <definedName name="leicestereuropeseasontotalslost">#REF!</definedName>
    <definedName name="leicestereuropeseasontotalsplayed">#REF!</definedName>
    <definedName name="leicestereuropeseasontotalsptsagainst">#REF!</definedName>
    <definedName name="leicestereuropeseasontotalsptsscored">#REF!</definedName>
    <definedName name="leicestereuropeseasontotalsRC">#REF!</definedName>
    <definedName name="leicestereuropeseasontotalstriesconceded">#REF!</definedName>
    <definedName name="leicestereuropeseasontotalstriesscored">#REF!</definedName>
    <definedName name="leicestereuropeseasontotalswon">#REF!</definedName>
    <definedName name="leicestereuropeseasontotalsYC">#REF!</definedName>
    <definedName name="leicesterpoconceded">#REF!</definedName>
    <definedName name="leicesterpolost">#REF!</definedName>
    <definedName name="leicesterpoplayed">#REF!</definedName>
    <definedName name="leicesterpored">#REF!</definedName>
    <definedName name="leicesterposcored">#REF!</definedName>
    <definedName name="leicesterpotriesconceded">#REF!</definedName>
    <definedName name="leicesterpotriesscored">#REF!</definedName>
    <definedName name="leicesterpowon">#REF!</definedName>
    <definedName name="leicesterpoyellow">#REF!</definedName>
    <definedName name="leicesterpremdrawn">#REF!</definedName>
    <definedName name="leicesterpremdropgoalsscored">#REF!</definedName>
    <definedName name="leicesterpremlosingbonusconc">#REF!</definedName>
    <definedName name="leicesterpremlosingbonusscored">#REF!</definedName>
    <definedName name="leicesterpremlost">#REF!</definedName>
    <definedName name="leicesterpremplayed">#REF!</definedName>
    <definedName name="leicesterpremptsagainst">#REF!</definedName>
    <definedName name="leicesterpremptsscored">#REF!</definedName>
    <definedName name="leicesterpremred">#REF!</definedName>
    <definedName name="leicesterpremseasontotalsdgs">#REF!</definedName>
    <definedName name="leicesterpremseasontotalsdrawn">#REF!</definedName>
    <definedName name="leicesterpremseasontotalslost">#REF!</definedName>
    <definedName name="leicesterpremseasontotalsplayed">#REF!</definedName>
    <definedName name="leicesterpremseasontotalsptsagainst">#REF!</definedName>
    <definedName name="leicesterpremseasontotalsptsscored">#REF!</definedName>
    <definedName name="leicesterpremseasontotalsRC">#REF!</definedName>
    <definedName name="leicesterpremseasontotalstriesconceded">#REF!</definedName>
    <definedName name="leicesterpremseasontotalstriesscored">#REF!</definedName>
    <definedName name="leicesterpremseasontotalswon">#REF!</definedName>
    <definedName name="leicesterpremseasontotalsYC">#REF!</definedName>
    <definedName name="leicesterpremtriescomc">#REF!</definedName>
    <definedName name="leicesterpremtriesscored">#REF!</definedName>
    <definedName name="leicesterpremtrybonusconc">#REF!</definedName>
    <definedName name="leicesterpremtrybonusconccorrect">#REF!</definedName>
    <definedName name="leicesterpremtrybonusscored">#REF!</definedName>
    <definedName name="leicesterpremwon">#REF!</definedName>
    <definedName name="leicesterpremyellow">#REF!</definedName>
    <definedName name="LEICESTERPWRDRAWN">LEI!$Z$23</definedName>
    <definedName name="leicesterPWRhistdrawn">Sum!$E$8</definedName>
    <definedName name="leicesterPWRhistlost">Sum!$D$8</definedName>
    <definedName name="leicesterPWRhistplayed">Sum!$B$8</definedName>
    <definedName name="leicesterPWRhistptsaga">Sum!$H$8</definedName>
    <definedName name="leicesterPWRhistptsfor">Sum!$G$8</definedName>
    <definedName name="leicesterPWRhistwon">Sum!$C$8</definedName>
    <definedName name="LEICESTERPWRLBCONC">LEI!$Q$23</definedName>
    <definedName name="LEICESTERPWRLBSCORED">LEI!$I$23</definedName>
    <definedName name="LEICESTERPWRLOST">LEI!$AA$23</definedName>
    <definedName name="LEICESTERPWRPLAYED">LEI!$X$23</definedName>
    <definedName name="LEICESTERPWRPTSCONC">LEI!$G$23</definedName>
    <definedName name="LEICESTERPWRPTSSCORED">LEI!$F$23</definedName>
    <definedName name="LEICESTERPWRTBCONC">LEI!$P$23</definedName>
    <definedName name="LEICESTERPWRTBSCORED">LEI!$H$23</definedName>
    <definedName name="LEICESTERPWRTRIESCONC">LEI!$R$23</definedName>
    <definedName name="LEICESTERPWRTRIESSCORED">LEI!$J$23</definedName>
    <definedName name="LEICESTERPWRWON">LEI!$Y$23</definedName>
    <definedName name="leicesterwomenrc">LEI!$O$25</definedName>
    <definedName name="leicesterwomenyc">LEI!$N$25</definedName>
    <definedName name="Leichallcuphistdgs">#REF!</definedName>
    <definedName name="Leichallcuphistdrawn">#REF!</definedName>
    <definedName name="Leichallcuphistlost">#REF!</definedName>
    <definedName name="Leichallcuphistplayed">#REF!</definedName>
    <definedName name="Leichallcuphistptsagainst">#REF!</definedName>
    <definedName name="Leichallcuphistptsscored">#REF!</definedName>
    <definedName name="Leichallcuphisttriesagainst">#REF!</definedName>
    <definedName name="Leichallcuphisttriesscored">#REF!</definedName>
    <definedName name="Leichallcuphistwon">#REF!</definedName>
    <definedName name="Leichampscupdgs">#REF!</definedName>
    <definedName name="Leichampscupdrawn">#REF!</definedName>
    <definedName name="Leichampscuphistdgs">#REF!</definedName>
    <definedName name="Leichampscuphistdrawn">#REF!</definedName>
    <definedName name="Leichampscuphistlost">#REF!</definedName>
    <definedName name="Leichampscuphistplayed">#REF!</definedName>
    <definedName name="Leichampscuphistptsagainst">#REF!</definedName>
    <definedName name="Leichampscuphistptsscored">#REF!</definedName>
    <definedName name="Leichampscuphisttriesagainst">#REF!</definedName>
    <definedName name="Leichampscuphisttriesscored">#REF!</definedName>
    <definedName name="Leichampscuphistwon">#REF!</definedName>
    <definedName name="Leichampscuplost">#REF!</definedName>
    <definedName name="Leichampscupplayed">#REF!</definedName>
    <definedName name="Leichampscuppohistdgs">#REF!</definedName>
    <definedName name="Leichampscuppohistdrawn">#REF!</definedName>
    <definedName name="Leichampscuppohistlost">#REF!</definedName>
    <definedName name="Leichampscuppohistplayed">#REF!</definedName>
    <definedName name="Leichampscuppohistptsagainst">#REF!</definedName>
    <definedName name="Leichampscuppohistptsscored">#REF!</definedName>
    <definedName name="Leichampscuppohisttriesagainst">#REF!</definedName>
    <definedName name="Leichampscuppohisttriesscored">#REF!</definedName>
    <definedName name="Leichampscuppohistwon">#REF!</definedName>
    <definedName name="Leichampscupptsagainst">#REF!</definedName>
    <definedName name="Leichampscupptsscored">#REF!</definedName>
    <definedName name="Leichampscuptriesagainst">#REF!</definedName>
    <definedName name="Leichampscuptriesscored">#REF!</definedName>
    <definedName name="Leichampscupwon">#REF!</definedName>
    <definedName name="Leicprempodgs">#REF!</definedName>
    <definedName name="Leicprempolost">#REF!</definedName>
    <definedName name="Leicprempoplayed">#REF!</definedName>
    <definedName name="Leicprempoptsagainst">#REF!</definedName>
    <definedName name="Leicprempoptsscored">#REF!</definedName>
    <definedName name="LeicprempoRC">#REF!</definedName>
    <definedName name="Leicprempotriesagainst">#REF!</definedName>
    <definedName name="Leicprempotriesscored">#REF!</definedName>
    <definedName name="Leicprempowon">#REF!</definedName>
    <definedName name="LeicprempoYC">#REF!</definedName>
    <definedName name="leicsbonus">#REF!</definedName>
    <definedName name="leicsconceded">#REF!</definedName>
    <definedName name="leicsdrawn">#REF!</definedName>
    <definedName name="leicslosingbonus">#REF!</definedName>
    <definedName name="leicslosingbonusconceded">#REF!</definedName>
    <definedName name="leicslost">#REF!</definedName>
    <definedName name="leicsplayed">#REF!</definedName>
    <definedName name="leicspotriesconceded">#REF!</definedName>
    <definedName name="Leicspotriesscored">#REF!</definedName>
    <definedName name="leicsred">#REF!</definedName>
    <definedName name="leicsscored">#REF!</definedName>
    <definedName name="leicstries">#REF!</definedName>
    <definedName name="leicstriesconceded">#REF!</definedName>
    <definedName name="leicstrybonus">#REF!</definedName>
    <definedName name="leicstrybonusconceded">#REF!</definedName>
    <definedName name="leicswon">#REF!</definedName>
    <definedName name="leicsyellow">#REF!</definedName>
    <definedName name="leidg">#REF!</definedName>
    <definedName name="Leieuropeancuphistdgs">#REF!</definedName>
    <definedName name="Leieuropeancuphistdrawn">#REF!</definedName>
    <definedName name="Leieuropeancuphistlost">#REF!</definedName>
    <definedName name="Leieuropeancuphistplayed">#REF!</definedName>
    <definedName name="Leieuropeancuphistptsscored">#REF!</definedName>
    <definedName name="Leieuropeancuphistptssgainst">#REF!</definedName>
    <definedName name="Leieuropeancuphisttriesagainst">#REF!</definedName>
    <definedName name="Leieuropeancuphisttriesscored">#REF!</definedName>
    <definedName name="Leieuropeancuphistwon">#REF!</definedName>
    <definedName name="leipolost">#REF!</definedName>
    <definedName name="leipoplayed">#REF!</definedName>
    <definedName name="leipoptsag">#REF!</definedName>
    <definedName name="leipoptsfor">#REF!</definedName>
    <definedName name="leipotriesscored">#REF!</definedName>
    <definedName name="leipremhistdgs">#REF!</definedName>
    <definedName name="leipremhistdrawn">#REF!</definedName>
    <definedName name="leipremhistlost">#REF!</definedName>
    <definedName name="leipremhistplayed">#REF!</definedName>
    <definedName name="leipremhistptsagainst">#REF!</definedName>
    <definedName name="leipremhistptsscored">#REF!</definedName>
    <definedName name="leipremhisttriesagainst">#REF!</definedName>
    <definedName name="leipremhisttriesscored">#REF!</definedName>
    <definedName name="leipremhistwon">#REF!</definedName>
    <definedName name="leipremseasontotalsdrawn">LEI!$Z$25</definedName>
    <definedName name="leipremseasontotalslost">LEI!$AA$25</definedName>
    <definedName name="leipremseasontotalsplayed">LEI!$X$25</definedName>
    <definedName name="leipremseasontotalsptsagainsst">LEI!$G$25</definedName>
    <definedName name="leipremseasontotalsptsscored">LEI!$F$25</definedName>
    <definedName name="leipremseasontotalswon">LEI!$Y$25</definedName>
    <definedName name="libonus">BRI!#REF!</definedName>
    <definedName name="liconceded">BRI!#REF!</definedName>
    <definedName name="lidg">BRI!#REF!</definedName>
    <definedName name="lidrawn">BRI!#REF!</definedName>
    <definedName name="lilosingbonus">BRI!#REF!</definedName>
    <definedName name="lilosingbonusconceded">BRI!#REF!</definedName>
    <definedName name="lilost">BRI!#REF!</definedName>
    <definedName name="liplayed">BRI!#REF!</definedName>
    <definedName name="lirdgsscored">BRI!$L$27</definedName>
    <definedName name="lirdrawn">BRI!$Z$27</definedName>
    <definedName name="lired">BRI!#REF!</definedName>
    <definedName name="lirlosingbonusconceded">BRI!$Q$27</definedName>
    <definedName name="lirlosingbonusscored">BRI!$I$27</definedName>
    <definedName name="lirlost">BRI!$AA$27</definedName>
    <definedName name="lirplayed">BRI!$X$27</definedName>
    <definedName name="lirpodgsscored">BRI!$L$28</definedName>
    <definedName name="lirpolost">BRI!$AA$28</definedName>
    <definedName name="lirpoplayed">BRI!$X$28</definedName>
    <definedName name="lirpoptsagainst">BRI!$G$28</definedName>
    <definedName name="lirpoptsscored">BRI!$F$28</definedName>
    <definedName name="lirpored">BRI!$O$28</definedName>
    <definedName name="lirpotriesagainst">BRI!$R$28</definedName>
    <definedName name="lirpotriesscored">BRI!$J$28</definedName>
    <definedName name="lirpowon">BRI!$Y$28</definedName>
    <definedName name="lirpoyellow">BRI!$N$28</definedName>
    <definedName name="lirptsagainst">BRI!$G$27</definedName>
    <definedName name="lirptsscored">BRI!$F$27</definedName>
    <definedName name="lirred">BRI!$O$27</definedName>
    <definedName name="lirtriesagainst">BRI!$R$27</definedName>
    <definedName name="lirtriesconceded">BRI!$K$27</definedName>
    <definedName name="lirtriesconcededcorrect">BRI!$R$27</definedName>
    <definedName name="lirtriesscored">BRI!$J$27</definedName>
    <definedName name="lirtrybonusconceded">BRI!$P$27</definedName>
    <definedName name="lirtrybonusscored">BRI!$H$27</definedName>
    <definedName name="lirwon">BRI!$Y$27</definedName>
    <definedName name="liryellow">BRI!$N$27</definedName>
    <definedName name="liscored">BRI!#REF!</definedName>
    <definedName name="litries">BRI!#REF!</definedName>
    <definedName name="litriesconceded">BRI!#REF!</definedName>
    <definedName name="litrybonus">BRI!#REF!</definedName>
    <definedName name="litrybonusconceded">BRI!#REF!</definedName>
    <definedName name="liwon">BRI!#REF!</definedName>
    <definedName name="liyellow">BRI!#REF!</definedName>
    <definedName name="London_Irisheuropeanchallengecupdgs">#REF!</definedName>
    <definedName name="London_Irisheuropeanchallengecupdrawn">#REF!</definedName>
    <definedName name="London_Irisheuropeanchallengecuplost">#REF!</definedName>
    <definedName name="London_Irisheuropeanchallengecupplayed">#REF!</definedName>
    <definedName name="London_Irisheuropeanchallengecupptsagainst">#REF!</definedName>
    <definedName name="London_Irisheuropeanchallengecupptsscored">#REF!</definedName>
    <definedName name="London_Irisheuropeanchallengecuptriesagainst">#REF!</definedName>
    <definedName name="London_Irisheuropeanchallengecuptriesscored">#REF!</definedName>
    <definedName name="London_Irisheuropeanchallengecupwon">#REF!</definedName>
    <definedName name="London_Irisheuropeancuphistdgs">#REF!</definedName>
    <definedName name="London_Irisheuropeancuphistdrawn">#REF!</definedName>
    <definedName name="London_Irisheuropeancuphistlost">#REF!</definedName>
    <definedName name="London_Irisheuropeancuphistplayed">#REF!</definedName>
    <definedName name="London_Irisheuropeancuphistptsagainst">#REF!</definedName>
    <definedName name="London_Irisheuropeancuphistptsscored">#REF!</definedName>
    <definedName name="London_Irisheuropeancuphisttriesagainst">#REF!</definedName>
    <definedName name="London_Irisheuropeancuphisttriesscored">#REF!</definedName>
    <definedName name="London_Irisheuropeancuphistwon">#REF!</definedName>
    <definedName name="London_Irisheuropepoolsdgs">BRI!#REF!</definedName>
    <definedName name="London_Irisheuropepoolsdrawn">BRI!#REF!</definedName>
    <definedName name="London_Irisheuropepoolslosingbonusconceded">BRI!#REF!</definedName>
    <definedName name="London_Irisheuropepoolslosingbonusscored">BRI!#REF!</definedName>
    <definedName name="London_Irisheuropepoolslost">BRI!#REF!</definedName>
    <definedName name="London_Irisheuropepoolsplayed">BRI!#REF!</definedName>
    <definedName name="London_IrisheuropepoolsplayedCORRECT">BRI!#REF!</definedName>
    <definedName name="London_Irisheuropepoolsptsagainst">BRI!#REF!</definedName>
    <definedName name="London_Irisheuropepoolsptsscored">BRI!#REF!</definedName>
    <definedName name="London_Irisheuropepoolsred">BRI!#REF!</definedName>
    <definedName name="London_Irisheuropepoolstriesconceded">BRI!#REF!</definedName>
    <definedName name="London_Irisheuropepoolstriesscored">BRI!#REF!</definedName>
    <definedName name="London_Irisheuropepoolstrybonusconceded">BRI!#REF!</definedName>
    <definedName name="London_Irisheuropepoolstrybonusscored">BRI!#REF!</definedName>
    <definedName name="London_Irisheuropepoolswon">BRI!#REF!</definedName>
    <definedName name="London_Irisheuropepoolsyellow">BRI!#REF!</definedName>
    <definedName name="London_Irishpremhistdgs">#REF!</definedName>
    <definedName name="London_Irishpremhistdrawn">#REF!</definedName>
    <definedName name="London_Irishpremhistlost">#REF!</definedName>
    <definedName name="London_Irishpremhistplayed">#REF!</definedName>
    <definedName name="London_Irishpremhistptsagainst">#REF!</definedName>
    <definedName name="London_Irishpremhistptsscored">#REF!</definedName>
    <definedName name="London_Irishpremhisttriesagainst">#REF!</definedName>
    <definedName name="London_Irishpremhisttriesscored">#REF!</definedName>
    <definedName name="London_Irishpremhistwon">#REF!</definedName>
    <definedName name="LOUGHBOROUGHPWRDRAWN">LOU!$Z$25</definedName>
    <definedName name="loughboroughPWRhistdrawn">Sum!$F$9</definedName>
    <definedName name="loughboroughPWRhistlost">Sum!$D$9</definedName>
    <definedName name="loughboroughPWRhistorydrawncorrrect">Sum!$E$9</definedName>
    <definedName name="loughboroughPWRhistplayed">Sum!$B$9</definedName>
    <definedName name="loughboroughPWRhistptsaga">Sum!$H$9</definedName>
    <definedName name="loughboroughPWRhistptsfor">Sum!$G$9</definedName>
    <definedName name="loughboroughPWRhistwon">Sum!$C$9</definedName>
    <definedName name="LOUGHBOROUGHPWRLBCONC">LOU!$Q$25</definedName>
    <definedName name="LOUGHBOROUGHPWRLBSCORED">LOU!$I$25</definedName>
    <definedName name="LOUGHBOROUGHPWRLOST">LOU!$AA$25</definedName>
    <definedName name="LOUGHBOROUGHPWRPLAYED">LOU!$X$25</definedName>
    <definedName name="LOUGHBOROUGHPWRPTSCONC">LOU!$G$25</definedName>
    <definedName name="LOUGHBOROUGHPWRPTSSCORED">LOU!$F$25</definedName>
    <definedName name="LOUGHBOROUGHPWRTBCONC">LOU!$P$25</definedName>
    <definedName name="LOUGHBOROUGHPWRTBSCORED">LOU!$H$25</definedName>
    <definedName name="LOUGHBOROUGHPWRTRIESCONC">LOU!$R$25</definedName>
    <definedName name="LOUGHBOROUGHPWRTRIESSCORED">LOU!$J$25</definedName>
    <definedName name="LOUGHBOROUGHPWRWON">LOU!$Y$25</definedName>
    <definedName name="loughboroughwomenrc">LOU!$O$27</definedName>
    <definedName name="loughboroughwomenyc">LOU!$N$27</definedName>
    <definedName name="loupremseasontotalsdrawn">LOU!$Z$27</definedName>
    <definedName name="loupremseasontotalslost">LOU!$AA$27</definedName>
    <definedName name="loupremseasontotalsplayed">LOU!$X$27</definedName>
    <definedName name="loupremseasontotalsptsagainst">LOU!$G$27</definedName>
    <definedName name="loupremseasontotalsptsscored">LOU!$F$27</definedName>
    <definedName name="loupremseasontotalswon">LOU!$Y$27</definedName>
    <definedName name="lweagainst">#REF!</definedName>
    <definedName name="lwedrawn">#REF!</definedName>
    <definedName name="lwelosingbonus">#REF!</definedName>
    <definedName name="lwelosingbonusonceded">#REF!</definedName>
    <definedName name="lwelost">#REF!</definedName>
    <definedName name="lweplayed">#REF!</definedName>
    <definedName name="lwered">#REF!</definedName>
    <definedName name="lwescored">#REF!</definedName>
    <definedName name="lwetriesconceded">#REF!</definedName>
    <definedName name="lwetriesscored">#REF!</definedName>
    <definedName name="lwetrybonus">#REF!</definedName>
    <definedName name="lwetrybonusconceded">#REF!</definedName>
    <definedName name="lwewon">#REF!</definedName>
    <definedName name="lweyellow">#REF!</definedName>
    <definedName name="newcastleeuropeseasontotalsdgs">#REF!</definedName>
    <definedName name="newcastleeuropeseasontotalsdrawn">#REF!</definedName>
    <definedName name="newcastleeuropeseasontotalslost">#REF!</definedName>
    <definedName name="newcastleeuropeseasontotalsplayed">#REF!</definedName>
    <definedName name="newcastleeuropeseasontotalsptsagainst">#REF!</definedName>
    <definedName name="newcastleeuropeseasontotalsptsscored">#REF!</definedName>
    <definedName name="newcastleeuropeseasontotalsRC">#REF!</definedName>
    <definedName name="newcastleeuropeseasontotalstriesagainst">#REF!</definedName>
    <definedName name="newcastleeuropeseasontotalstriesscored">#REF!</definedName>
    <definedName name="newcastleeuropeseasontotalswon">#REF!</definedName>
    <definedName name="newcastleeuropeseasontotalsYC">#REF!</definedName>
    <definedName name="newcastlepremdrawn">#REF!</definedName>
    <definedName name="newcastlepremdropgoalsscored">#REF!</definedName>
    <definedName name="newcastlepremlosingboinusconc">#REF!</definedName>
    <definedName name="newcastlepremlosingbonusscored">#REF!</definedName>
    <definedName name="newcastlepremlost">#REF!</definedName>
    <definedName name="newcastlepremplayed">#REF!</definedName>
    <definedName name="newcastlepremptsagaionst">#REF!</definedName>
    <definedName name="newcastlepremptsscored">#REF!</definedName>
    <definedName name="newcastlepremred">#REF!</definedName>
    <definedName name="Newcastlepremtotalsdgs">#REF!</definedName>
    <definedName name="newcastlepremtotalsdrawn">#REF!</definedName>
    <definedName name="Newcastlepremtotalslost">#REF!</definedName>
    <definedName name="Newcastlepremtotalsplayed">#REF!</definedName>
    <definedName name="Newcastlepremtotalsptsagainst">#REF!</definedName>
    <definedName name="Newcastlepremtotalsptsscored">#REF!</definedName>
    <definedName name="Newcastlepremtotalsrc">#REF!</definedName>
    <definedName name="Newcastlepremtotalstriesconceded">#REF!</definedName>
    <definedName name="Newcastlepremtotalstriesscored">#REF!</definedName>
    <definedName name="Newcastlepremtotalswon">#REF!</definedName>
    <definedName name="Newcastlepremtotalsyc">#REF!</definedName>
    <definedName name="newcastlepremtriesconc">#REF!</definedName>
    <definedName name="newcastlepremtriesscored">#REF!</definedName>
    <definedName name="newcastlepremtrybonuscocn">#REF!</definedName>
    <definedName name="newcastlepremtrybonusscored">#REF!</definedName>
    <definedName name="newcastlepremwon">#REF!</definedName>
    <definedName name="newcastlepremyellow">#REF!</definedName>
    <definedName name="newcbonus">#REF!</definedName>
    <definedName name="newcconceded">#REF!</definedName>
    <definedName name="newcdrawn">#REF!</definedName>
    <definedName name="Newchallcupdgs">#REF!</definedName>
    <definedName name="Newchallcupdrawn">#REF!</definedName>
    <definedName name="Newchallcuplost">#REF!</definedName>
    <definedName name="Newchallcupplayed">#REF!</definedName>
    <definedName name="Newchallcupptsagainst">#REF!</definedName>
    <definedName name="Newchallcupptsscored">#REF!</definedName>
    <definedName name="Newchallcuptriesagainst">#REF!</definedName>
    <definedName name="Newchallcuptriesscored">#REF!</definedName>
    <definedName name="Newchallcupwon">#REF!</definedName>
    <definedName name="Newchampscuphistdgs">#REF!</definedName>
    <definedName name="Newchampscuphistdrawn">#REF!</definedName>
    <definedName name="Newchampscuphistlost">#REF!</definedName>
    <definedName name="Newchampscuphistplayed">#REF!</definedName>
    <definedName name="Newchampscuphistptsagainst">#REF!</definedName>
    <definedName name="Newchampscuphistptsscored">#REF!</definedName>
    <definedName name="Newchampscuphisttriesagainst">#REF!</definedName>
    <definedName name="Newchampscuphisttriesscored">#REF!</definedName>
    <definedName name="Newchampscuphistwon">#REF!</definedName>
    <definedName name="Newchampscuppohistdgs">#REF!</definedName>
    <definedName name="Newchampscuppohistdrawn">#REF!</definedName>
    <definedName name="Newchampscuppohistlost">#REF!</definedName>
    <definedName name="Newchampscuppohistplayed">#REF!</definedName>
    <definedName name="Newchampscuppohistptsagainst">#REF!</definedName>
    <definedName name="Newchampscuppohistptsscored">#REF!</definedName>
    <definedName name="Newchampscuppohisttriesagainst">#REF!</definedName>
    <definedName name="Newchampscuppohisttriesscored">#REF!</definedName>
    <definedName name="Newchampscuppohistwon">#REF!</definedName>
    <definedName name="newclosingbonus">#REF!</definedName>
    <definedName name="newclosingbonusconceded">#REF!</definedName>
    <definedName name="newclost">#REF!</definedName>
    <definedName name="newcplayed">#REF!</definedName>
    <definedName name="newcpremhistdgs">#REF!</definedName>
    <definedName name="newcpremhistdrawn">#REF!</definedName>
    <definedName name="newcpremhistlost">#REF!</definedName>
    <definedName name="newcpremhistplayed">#REF!</definedName>
    <definedName name="newcpremhistptsagainst">#REF!</definedName>
    <definedName name="newcpremhistptsscored">#REF!</definedName>
    <definedName name="newcpremhisttriesagainst">#REF!</definedName>
    <definedName name="newcpremhisttriesscored">#REF!</definedName>
    <definedName name="newcpremhistwon">#REF!</definedName>
    <definedName name="newcred">#REF!</definedName>
    <definedName name="newcscored">#REF!</definedName>
    <definedName name="newctriesconceded">#REF!</definedName>
    <definedName name="newctriesscored">#REF!</definedName>
    <definedName name="newctrybonus">#REF!</definedName>
    <definedName name="newctrybonusconceded">#REF!</definedName>
    <definedName name="newcwon">#REF!</definedName>
    <definedName name="newcyellow">#REF!</definedName>
    <definedName name="newdg">#REF!</definedName>
    <definedName name="Neweuropeancuphistdgs">#REF!</definedName>
    <definedName name="Neweuropeancuphistdrawn">#REF!</definedName>
    <definedName name="Neweuropeancuphistlost">#REF!</definedName>
    <definedName name="Neweuropeancuphistplayed">#REF!</definedName>
    <definedName name="Neweuropeancuphistptsagainst">#REF!</definedName>
    <definedName name="Neweuropeancuphistptsscored">#REF!</definedName>
    <definedName name="Neweuropeancuphisttriesagainst">#REF!</definedName>
    <definedName name="Neweuropeancuphisttriesscored">#REF!</definedName>
    <definedName name="Neweuropeancuphistwon">#REF!</definedName>
    <definedName name="Newpremhistdgs">#REF!</definedName>
    <definedName name="Newpremhistdrawn">#REF!</definedName>
    <definedName name="Newpremhistlost">#REF!</definedName>
    <definedName name="Newpremhistplayed">#REF!</definedName>
    <definedName name="Newpremhistptsagainst">#REF!</definedName>
    <definedName name="Newpremhistptsscored">#REF!</definedName>
    <definedName name="Newpremhisttriesagainst">#REF!</definedName>
    <definedName name="Newpremhisttriesscored">#REF!</definedName>
    <definedName name="Newpremhistwon">#REF!</definedName>
    <definedName name="Norchallcuphistdgs">#REF!</definedName>
    <definedName name="Norchallcuphistdrawn">#REF!</definedName>
    <definedName name="Norchallcuphistlost">#REF!</definedName>
    <definedName name="Norchallcuphistplayed">#REF!</definedName>
    <definedName name="Norchallcuphistptsagainst">#REF!</definedName>
    <definedName name="Norchallcuphistptsscored">#REF!</definedName>
    <definedName name="Norchallcuphisttriesagainst">#REF!</definedName>
    <definedName name="Norchallcuphisttriesscored">#REF!</definedName>
    <definedName name="Norchallcuphistwon">#REF!</definedName>
    <definedName name="Norchampscupdgs">#REF!</definedName>
    <definedName name="Norchampscupdrawn">#REF!</definedName>
    <definedName name="Norchampscuphistdgs">#REF!</definedName>
    <definedName name="Norchampscuphistdrawn">#REF!</definedName>
    <definedName name="Norchampscuphistlost">#REF!</definedName>
    <definedName name="Norchampscuphistplayed">#REF!</definedName>
    <definedName name="Norchampscuphistptsagainst">#REF!</definedName>
    <definedName name="Norchampscuphistptsscored">#REF!</definedName>
    <definedName name="Norchampscuphisttriesagainst">#REF!</definedName>
    <definedName name="Norchampscuphisttriesscored">#REF!</definedName>
    <definedName name="Norchampscuphistwon">#REF!</definedName>
    <definedName name="Norchampscuplost">#REF!</definedName>
    <definedName name="Norchampscupplayed">#REF!</definedName>
    <definedName name="norchampscuppoagainst">#REF!</definedName>
    <definedName name="norchampscuppodgs">#REF!</definedName>
    <definedName name="Norchampscuppohistdgs">#REF!</definedName>
    <definedName name="Norchampscuppohistdrawn">#REF!</definedName>
    <definedName name="Norchampscuppohistlost">#REF!</definedName>
    <definedName name="Norchampscuppohistplayed">#REF!</definedName>
    <definedName name="Norchampscuppohistptsagainst">#REF!</definedName>
    <definedName name="Norchampscuppohistptsscored">#REF!</definedName>
    <definedName name="Norchampscuppohisttriesagainst">#REF!</definedName>
    <definedName name="Norchampscuppohisttriesscored">#REF!</definedName>
    <definedName name="Norchampscuppohistwon">#REF!</definedName>
    <definedName name="norchampscuppolost">#REF!</definedName>
    <definedName name="norchampscuppoplayed">#REF!</definedName>
    <definedName name="norchampscupposcored">#REF!</definedName>
    <definedName name="norchampscuppotriesagainst">#REF!</definedName>
    <definedName name="norchampscuppotriesscored">#REF!</definedName>
    <definedName name="norchampscuppowon">#REF!</definedName>
    <definedName name="Norchampscupptsagainst">#REF!</definedName>
    <definedName name="Norchampscupptsscored">#REF!</definedName>
    <definedName name="Norchampscuptriesagainst">#REF!</definedName>
    <definedName name="Norchampscuptriesscored">#REF!</definedName>
    <definedName name="Norchampscupwon">#REF!</definedName>
    <definedName name="nordg">#REF!</definedName>
    <definedName name="Noreuropeancuphistdgs">#REF!</definedName>
    <definedName name="Noreuropeancuphistdrawn">#REF!</definedName>
    <definedName name="Noreuropeancuphistlost">#REF!</definedName>
    <definedName name="Noreuropeancuphistplayed">#REF!</definedName>
    <definedName name="Noreuropeancuphistptsagainst">#REF!</definedName>
    <definedName name="Noreuropeancuphistptsscored">#REF!</definedName>
    <definedName name="Noreuropeancuphisttriesagainst">#REF!</definedName>
    <definedName name="Noreuropeancuphisttriesscored">#REF!</definedName>
    <definedName name="Noreuropeancuphistwon">#REF!</definedName>
    <definedName name="Norpremhistdgs">#REF!</definedName>
    <definedName name="Norpremhistdrawn">#REF!</definedName>
    <definedName name="Norpremhistlost">#REF!</definedName>
    <definedName name="Norpremhistplayed">#REF!</definedName>
    <definedName name="Norpremhistptsagainst">#REF!</definedName>
    <definedName name="Norpremhistptsscored">#REF!</definedName>
    <definedName name="Norpremhisttriersscored">#REF!</definedName>
    <definedName name="Norpremhisttriesagainst">#REF!</definedName>
    <definedName name="Norpremhistwon">#REF!</definedName>
    <definedName name="norpremporc">#REF!</definedName>
    <definedName name="norprempotriesconc">#REF!</definedName>
    <definedName name="norprempotriesscored">#REF!</definedName>
    <definedName name="norprempoyc">#REF!</definedName>
    <definedName name="Nortbscored">#REF!</definedName>
    <definedName name="northamptoneuropeseasontotalsdgs">#REF!</definedName>
    <definedName name="northamptoneuropeseasontotalsdrawn">#REF!</definedName>
    <definedName name="northamptoneuropeseasontotalslost">#REF!</definedName>
    <definedName name="northamptoneuropeseasontotalsplayed">#REF!</definedName>
    <definedName name="northamptoneuropeseasontotalsptsagainst">#REF!</definedName>
    <definedName name="northamptoneuropeseasontotalsptsscored">#REF!</definedName>
    <definedName name="northamptoneuropeseasontotalsRC">#REF!</definedName>
    <definedName name="northamptoneuropeseasontotalstriesconceded">#REF!</definedName>
    <definedName name="northamptoneuropeseasontotalstriesscored">#REF!</definedName>
    <definedName name="northamptoneuropeseasontotalswon">#REF!</definedName>
    <definedName name="northamptoneuropeseasontotalsYC">#REF!</definedName>
    <definedName name="northamptonpremdrawn">#REF!</definedName>
    <definedName name="northamptonpremdropgoalsscored">#REF!</definedName>
    <definedName name="northamptonpremlosingbonusconc">#REF!</definedName>
    <definedName name="northamptonpremlosingbonusscored">#REF!</definedName>
    <definedName name="northamptonpremlost">#REF!</definedName>
    <definedName name="northamptonpremplayed">#REF!</definedName>
    <definedName name="northamptonpremptsagainst">#REF!</definedName>
    <definedName name="northamptonpremptsscored">#REF!</definedName>
    <definedName name="northamptonpremred">#REF!</definedName>
    <definedName name="northamptonpremseasontotalsdgs">#REF!</definedName>
    <definedName name="northamptonpremseasontotalsdrawn">#REF!</definedName>
    <definedName name="northamptonpremseasontotalslost">#REF!</definedName>
    <definedName name="northamptonpremseasontotalsplayed">#REF!</definedName>
    <definedName name="northamptonpremseasontotalsptsagainst">#REF!</definedName>
    <definedName name="northamptonpremseasontotalsptsscored">#REF!</definedName>
    <definedName name="northamptonpremseasontotalsRC">#REF!</definedName>
    <definedName name="northamptonpremseasontotalstriesconceded">#REF!</definedName>
    <definedName name="northamptonpremseasontotalstriesscored">#REF!</definedName>
    <definedName name="northamptonpremseasontotalswon">#REF!</definedName>
    <definedName name="northamptonpremseasontotalsYC">#REF!</definedName>
    <definedName name="northamptonpremtriesagainst">#REF!</definedName>
    <definedName name="northamptonpremtriesconc">#REF!</definedName>
    <definedName name="northamptonpremtriesscored">#REF!</definedName>
    <definedName name="northamptonpremtrybonusconc">#REF!</definedName>
    <definedName name="northamptonpremtrybonusscored">#REF!</definedName>
    <definedName name="northamptonpremwon">#REF!</definedName>
    <definedName name="northamptonpremyellow">#REF!</definedName>
    <definedName name="OLE_LINK1" localSheetId="6">Table!#REF!</definedName>
    <definedName name="pwrseasonpts">Results!$I$98</definedName>
    <definedName name="pwrseasonrc">Cards!$D$12</definedName>
    <definedName name="pwrseasontries">Stats!$B$12</definedName>
    <definedName name="pwrseasonyc">Cards!$B$12</definedName>
    <definedName name="quinspoconceded">#REF!</definedName>
    <definedName name="quinspolost">#REF!</definedName>
    <definedName name="quinspoplayed">#REF!</definedName>
    <definedName name="quinspored">#REF!</definedName>
    <definedName name="quinsposcored">#REF!</definedName>
    <definedName name="quinspotriesconceded">#REF!</definedName>
    <definedName name="quinspotriesscored">#REF!</definedName>
    <definedName name="quinspowon">#REF!</definedName>
    <definedName name="quinspoyellow">#REF!</definedName>
    <definedName name="quinswomenrc">HAR!$O$28</definedName>
    <definedName name="quinswomenyc">HAR!$N$28</definedName>
    <definedName name="sainstpotriesconcededcorrect">#REF!</definedName>
    <definedName name="sainstpowon">#REF!</definedName>
    <definedName name="saintsbonus">#REF!</definedName>
    <definedName name="saintsconceded">#REF!</definedName>
    <definedName name="saintsdrawn">#REF!</definedName>
    <definedName name="saintslosingbonus">#REF!</definedName>
    <definedName name="saintslosingbonusconceded">#REF!</definedName>
    <definedName name="saintslost">#REF!</definedName>
    <definedName name="saintsplayed">#REF!</definedName>
    <definedName name="saintspoconceded">#REF!</definedName>
    <definedName name="saintspodrawn">#REF!</definedName>
    <definedName name="saintspolost">#REF!</definedName>
    <definedName name="saintspoplayed">#REF!</definedName>
    <definedName name="saintspored">#REF!</definedName>
    <definedName name="saintsposcored">#REF!</definedName>
    <definedName name="saintspotriesconceded">#REF!</definedName>
    <definedName name="saintspotriesscored">#REF!</definedName>
    <definedName name="Saintspoyellow">#REF!</definedName>
    <definedName name="saintsred">#REF!</definedName>
    <definedName name="saintsscored">#REF!</definedName>
    <definedName name="saintstriesconceded">#REF!</definedName>
    <definedName name="saintstriesscored">#REF!</definedName>
    <definedName name="saintstrybonus">#REF!</definedName>
    <definedName name="saintstrybonusconceded">#REF!</definedName>
    <definedName name="saintswon">#REF!</definedName>
    <definedName name="saintsyellow">#REF!</definedName>
    <definedName name="Salchallcuphistdgs">#REF!</definedName>
    <definedName name="Salchallcuphistdrawn">#REF!</definedName>
    <definedName name="Salchallcuphistlost">#REF!</definedName>
    <definedName name="Salchallcuphistplayed">#REF!</definedName>
    <definedName name="Salchallcuphistptsagainst">#REF!</definedName>
    <definedName name="Salchallcuphistptsscored">#REF!</definedName>
    <definedName name="Salchallcuphisttriesagainst">#REF!</definedName>
    <definedName name="Salchallcuphisttriesscored">#REF!</definedName>
    <definedName name="Salchallcuphistwon">#REF!</definedName>
    <definedName name="Salchampscupdgs">#REF!</definedName>
    <definedName name="Salchampscupdrawn">#REF!</definedName>
    <definedName name="Salchampscuphistdgs">#REF!</definedName>
    <definedName name="Salchampscuphistdrawn">#REF!</definedName>
    <definedName name="Salchampscuphistlost">#REF!</definedName>
    <definedName name="Salchampscuphistplayed">#REF!</definedName>
    <definedName name="Salchampscuphistptsagainst">#REF!</definedName>
    <definedName name="Salchampscuphistptsscored">#REF!</definedName>
    <definedName name="Salchampscuphisttriesagainst">#REF!</definedName>
    <definedName name="Salchampscuphisttriesscored">#REF!</definedName>
    <definedName name="Salchampscuphistwon">#REF!</definedName>
    <definedName name="Salchampscuplost">#REF!</definedName>
    <definedName name="Salchampscupplayed">#REF!</definedName>
    <definedName name="Salchampscuppohistdgs">#REF!</definedName>
    <definedName name="Salchampscuppohistdrawn">#REF!</definedName>
    <definedName name="Salchampscuppohistlost">#REF!</definedName>
    <definedName name="Salchampscuppohistplayed">#REF!</definedName>
    <definedName name="Salchampscuppohistptsagainst">#REF!</definedName>
    <definedName name="Salchampscuppohistptsscored">#REF!</definedName>
    <definedName name="Salchampscuppohisttriesagainst">#REF!</definedName>
    <definedName name="Salchampscuppohisttriesscored">#REF!</definedName>
    <definedName name="Salchampscuppohistwon">#REF!</definedName>
    <definedName name="Salchampscupptsagainst">#REF!</definedName>
    <definedName name="Salchampscupptsscored">#REF!</definedName>
    <definedName name="Salchampscuptriesagainst">#REF!</definedName>
    <definedName name="Salchampscuptriesscored">#REF!</definedName>
    <definedName name="Salchampscupwon">#REF!</definedName>
    <definedName name="saldg">#REF!</definedName>
    <definedName name="salebonus">#REF!</definedName>
    <definedName name="saleconceded">#REF!</definedName>
    <definedName name="saledrawn">#REF!</definedName>
    <definedName name="saleeuropeseasontotalsdgs">#REF!</definedName>
    <definedName name="saleeuropeseasontotalsdrawn">#REF!</definedName>
    <definedName name="saleeuropeseasontotalslost">#REF!</definedName>
    <definedName name="saleeuropeseasontotalsplayed">#REF!</definedName>
    <definedName name="saleeuropeseasontotalsptsagainst">#REF!</definedName>
    <definedName name="saleeuropeseasontotalsptsscorewd">#REF!</definedName>
    <definedName name="saleeuropeseasontotalsRC">#REF!</definedName>
    <definedName name="saleeuropeseasontotalstriesconceded">#REF!</definedName>
    <definedName name="saleeuropeseasontotalstriesscored">#REF!</definedName>
    <definedName name="saleeuropeseasontotalswon">#REF!</definedName>
    <definedName name="saleeuropeseasontotalsYC">#REF!</definedName>
    <definedName name="salelosingbonus">#REF!</definedName>
    <definedName name="salelosingbonusconceded">#REF!</definedName>
    <definedName name="salelost">#REF!</definedName>
    <definedName name="saleplayed">#REF!</definedName>
    <definedName name="salepremdrawn">#REF!</definedName>
    <definedName name="salepremdropgoalsscored">#REF!</definedName>
    <definedName name="salepremlosingbonusconc">#REF!</definedName>
    <definedName name="salepremlosingbonusscored">#REF!</definedName>
    <definedName name="salepremlost">#REF!</definedName>
    <definedName name="salepremplayed">#REF!</definedName>
    <definedName name="salepremptsdagainst">#REF!</definedName>
    <definedName name="salepremptsscored">#REF!</definedName>
    <definedName name="salepremred">#REF!</definedName>
    <definedName name="salepremseasontotalsdgs">#REF!</definedName>
    <definedName name="salepremseasontotalsdrawn">#REF!</definedName>
    <definedName name="salepremseasontotalslost">#REF!</definedName>
    <definedName name="salepremseasontotalsplayed">#REF!</definedName>
    <definedName name="salepremseasontotalsptsagainst">#REF!</definedName>
    <definedName name="salepremseasontotalsptsscored">#REF!</definedName>
    <definedName name="salepremseasontotalsRC">#REF!</definedName>
    <definedName name="salepremseasontotalstriesconceded">#REF!</definedName>
    <definedName name="salepremseasontotalstriesscored">#REF!</definedName>
    <definedName name="salepremseasontotalswon">#REF!</definedName>
    <definedName name="salepremseasontotalsYC">#REF!</definedName>
    <definedName name="salepremtriesconc">#REF!</definedName>
    <definedName name="salepremtriesscored">#REF!</definedName>
    <definedName name="salepremtrybonusconc">#REF!</definedName>
    <definedName name="salepremtrybonusscored">#REF!</definedName>
    <definedName name="salepremwon">#REF!</definedName>
    <definedName name="salepremyellow">#REF!</definedName>
    <definedName name="SALEPWRDRAWN">SAL!$Z$25</definedName>
    <definedName name="salePWRhistdrawn">Sum!$E$11</definedName>
    <definedName name="salePWRhistlost">Sum!$D$11</definedName>
    <definedName name="salePWRhistplayed">Sum!$B$11</definedName>
    <definedName name="salePWRhistptsaga">Sum!$H$11</definedName>
    <definedName name="salePWRhistptsfor">Sum!$G$11</definedName>
    <definedName name="salePWRhistwon">Sum!$C$11</definedName>
    <definedName name="SALEPWRLBCONC">SAL!$Q$25</definedName>
    <definedName name="SALEPWRLBSCORED">SAL!$I$25</definedName>
    <definedName name="SALEPWRLOST">SAL!$AA$25</definedName>
    <definedName name="SALEPWRPLAYED">SAL!$X$25</definedName>
    <definedName name="SALEPWRPTSCONC">SAL!$G$25</definedName>
    <definedName name="SALEPWRPTSSCORED">SAL!$F$25</definedName>
    <definedName name="SALEPWRTBCONC">SAL!$P$25</definedName>
    <definedName name="SALEPWRTBSCORED">SAL!$H$25</definedName>
    <definedName name="SALEPWRTRIESCONC">SAL!$R$25</definedName>
    <definedName name="SALEPWRTRIESSCORED">SAL!$J$25</definedName>
    <definedName name="SALEPWRWON">SAL!$Y$25</definedName>
    <definedName name="salered">#REF!</definedName>
    <definedName name="salescored">#REF!</definedName>
    <definedName name="saletriesconceded">#REF!</definedName>
    <definedName name="saletriesscored">#REF!</definedName>
    <definedName name="saletrybonus">#REF!</definedName>
    <definedName name="saletrybonusconceded">#REF!</definedName>
    <definedName name="Saleuropeancuphistdgs">#REF!</definedName>
    <definedName name="Saleuropeancuphistdrawn">#REF!</definedName>
    <definedName name="Saleuropeancuphistlost">#REF!</definedName>
    <definedName name="Saleuropeancuphistplayed">#REF!</definedName>
    <definedName name="Saleuropeancuphistptsagainst">#REF!</definedName>
    <definedName name="Saleuropeancuphistptsscored">#REF!</definedName>
    <definedName name="Saleuropeancuphisttriesagainst">#REF!</definedName>
    <definedName name="Saleuropeancuphisttriesscored">#REF!</definedName>
    <definedName name="Saleuropeancuphistwon">#REF!</definedName>
    <definedName name="saleuropepoolagainst">#REF!</definedName>
    <definedName name="saleuropepooldgs">#REF!</definedName>
    <definedName name="saleuropepooldrawn">#REF!</definedName>
    <definedName name="saleuropepoollost">#REF!</definedName>
    <definedName name="saleuropepoolplayed">#REF!</definedName>
    <definedName name="saleuropepoolscored">#REF!</definedName>
    <definedName name="saleuropepooltriesagainst">#REF!</definedName>
    <definedName name="saleuropepooltriesscored">#REF!</definedName>
    <definedName name="saleuropepoolwon">#REF!</definedName>
    <definedName name="salewomenrc">SAL!$O$27</definedName>
    <definedName name="salewomenyc">SAL!$N$27</definedName>
    <definedName name="salewon">#REF!</definedName>
    <definedName name="saleyellow">#REF!</definedName>
    <definedName name="Salpremhistdgs">#REF!</definedName>
    <definedName name="Salpremhistdrawn">#REF!</definedName>
    <definedName name="Salpremhistlost">#REF!</definedName>
    <definedName name="Salpremhistplayed">#REF!</definedName>
    <definedName name="Salpremhistptsagainst">#REF!</definedName>
    <definedName name="Salpremhistptsscored">#REF!</definedName>
    <definedName name="Salpremhisttriesagainst">#REF!</definedName>
    <definedName name="Salpremhisttriesscored">#REF!</definedName>
    <definedName name="Salpremhistwon">#REF!</definedName>
    <definedName name="salpremporc">#REF!</definedName>
    <definedName name="salprempotriesconc">#REF!</definedName>
    <definedName name="salprempotriesscored">#REF!</definedName>
    <definedName name="salprempoyc">#REF!</definedName>
    <definedName name="salpremseasontotalsdrawn">SAL!$Z$27</definedName>
    <definedName name="salpremseasontotalslost">SAL!$AA$27</definedName>
    <definedName name="salpremseasontotalsplayed">SAL!$X$27</definedName>
    <definedName name="salpremseasontotalsptsagainst">SAL!$G$27</definedName>
    <definedName name="salpremseasontotalsptsscored">SAL!$F$27</definedName>
    <definedName name="salpremseasontotalswon">SAL!$Y$27</definedName>
    <definedName name="saracenseuropeseasontotalsdgs">#REF!</definedName>
    <definedName name="saracenseuropeseasontotalsdrawn">#REF!</definedName>
    <definedName name="saracenseuropeseasontotalslost">#REF!</definedName>
    <definedName name="saracenseuropeseasontotalsplayed">#REF!</definedName>
    <definedName name="saracenseuropeseasontotalsptsagainst">#REF!</definedName>
    <definedName name="saracenseuropeseasontotalsptsscored">#REF!</definedName>
    <definedName name="saracenseuropeseasontotalsRC">#REF!</definedName>
    <definedName name="saracenseuropeseasontotalstriesconceded">#REF!</definedName>
    <definedName name="saracenseuropeseasontotalstriesscored">#REF!</definedName>
    <definedName name="saracenseuropeseasontotalswon">#REF!</definedName>
    <definedName name="saracenseuropeseasontotalsYC">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drawn">#REF!</definedName>
    <definedName name="saracenspremdropgoalsscored">#REF!</definedName>
    <definedName name="saracenspremlosingbonusconc">#REF!</definedName>
    <definedName name="saracenspremlosingbonusscored">#REF!</definedName>
    <definedName name="saracenspremlost">#REF!</definedName>
    <definedName name="saracenspremplayed">#REF!</definedName>
    <definedName name="saracensprempodgs">#REF!</definedName>
    <definedName name="saracensprempolost">#REF!</definedName>
    <definedName name="saracensprempoplayed">#REF!</definedName>
    <definedName name="saracensprempoptsagainst">#REF!</definedName>
    <definedName name="saracensprempoptsscored">#REF!</definedName>
    <definedName name="saracensprempoRC">#REF!</definedName>
    <definedName name="saracensprempotriesagainst">#REF!</definedName>
    <definedName name="saracensprempotriesscored">#REF!</definedName>
    <definedName name="saracensprempowon">#REF!</definedName>
    <definedName name="saracensprempoYC">#REF!</definedName>
    <definedName name="saracenspremptsagainst">#REF!</definedName>
    <definedName name="saracenspremptsscored">#REF!</definedName>
    <definedName name="saracenspremred">#REF!</definedName>
    <definedName name="saracenspremtotalsdrawn">#REF!</definedName>
    <definedName name="saracenspremtriesconceded">#REF!</definedName>
    <definedName name="saracenspremtriesscopred">#REF!</definedName>
    <definedName name="saracenspremtrybonusconc">#REF!</definedName>
    <definedName name="saracenspremtrybonusscored">#REF!</definedName>
    <definedName name="saracenspremwon">#REF!</definedName>
    <definedName name="saracenspremyellow">#REF!</definedName>
    <definedName name="saracensPWRhistdrawn">Sum!$E$12</definedName>
    <definedName name="saracensPWRhistlost">Sum!$D$12</definedName>
    <definedName name="saracensPWRhistplayed">Sum!$B$12</definedName>
    <definedName name="saracensPWRhistptsaga">Sum!$H$12</definedName>
    <definedName name="saracensPWRhistptsfor">Sum!$G$12</definedName>
    <definedName name="saracensPWRhistwon">Sum!$C$12</definedName>
    <definedName name="saracenswomenrc">SAR!$O$29</definedName>
    <definedName name="saracenswomenyc">SAR!$N$29</definedName>
    <definedName name="Sarchallcuphistdgs">#REF!</definedName>
    <definedName name="Sarchallcuphistdrawn">#REF!</definedName>
    <definedName name="Sarchallcuphistlost">#REF!</definedName>
    <definedName name="Sarchallcuphistplayed">#REF!</definedName>
    <definedName name="Sarchallcuphistptsagainst">#REF!</definedName>
    <definedName name="Sarchallcuphistptsscored">#REF!</definedName>
    <definedName name="Sarchallcuphisttriesagainst">#REF!</definedName>
    <definedName name="Sarchallcuphisttriesscored">#REF!</definedName>
    <definedName name="Sarchallcuphistwon">#REF!</definedName>
    <definedName name="Sarchampscupdgs">#REF!</definedName>
    <definedName name="Sarchampscupdrawn">#REF!</definedName>
    <definedName name="Sarchampscuphistdgs">#REF!</definedName>
    <definedName name="Sarchampscuphistdrawn">#REF!</definedName>
    <definedName name="Sarchampscuphistlost">#REF!</definedName>
    <definedName name="Sarchampscuphistplayed">#REF!</definedName>
    <definedName name="Sarchampscuphistptsagainst">#REF!</definedName>
    <definedName name="Sarchampscuphistptsscored">#REF!</definedName>
    <definedName name="Sarchampscuphisttriesagainst">#REF!</definedName>
    <definedName name="Sarchampscuphisttriesscored">#REF!</definedName>
    <definedName name="Sarchampscuphistwon">#REF!</definedName>
    <definedName name="Sarchampscupkodgs">#REF!</definedName>
    <definedName name="Sarchampscupkolost">#REF!</definedName>
    <definedName name="Sarchampscupkoplayedcorrect">#REF!</definedName>
    <definedName name="Sarchampscupkopld">#REF!</definedName>
    <definedName name="Sarchampscupkoptsagainst">#REF!</definedName>
    <definedName name="Sarchampscupkoptsscored">#REF!</definedName>
    <definedName name="Sarchampscupkotriesagainst">#REF!</definedName>
    <definedName name="Sarchampscupkotriesscored">#REF!</definedName>
    <definedName name="Sarchampscupkowon">#REF!</definedName>
    <definedName name="Sarchampscuplost">#REF!</definedName>
    <definedName name="Sarchampscupplayed">#REF!</definedName>
    <definedName name="Sarchampscuppohistdgs">#REF!</definedName>
    <definedName name="Sarchampscuppohistdrawn">#REF!</definedName>
    <definedName name="Sarchampscuppohistlost">#REF!</definedName>
    <definedName name="Sarchampscuppohistplayed">#REF!</definedName>
    <definedName name="Sarchampscuppohistptsagainst">#REF!</definedName>
    <definedName name="Sarchampscuppohistptsscored">#REF!</definedName>
    <definedName name="Sarchampscuppohisttriesagainst">#REF!</definedName>
    <definedName name="Sarchampscuppohisttriesscored">#REF!</definedName>
    <definedName name="Sarchampscuppohistwon">#REF!</definedName>
    <definedName name="Sarchampscupptsagainst">#REF!</definedName>
    <definedName name="Sarchampscupptsscored">#REF!</definedName>
    <definedName name="Sarchampscuptriesagainst">#REF!</definedName>
    <definedName name="Sarchampscuptriesscored">#REF!</definedName>
    <definedName name="Sarchampscupwon">#REF!</definedName>
    <definedName name="sardg">#REF!</definedName>
    <definedName name="Sareuropeancuphistdgs">#REF!</definedName>
    <definedName name="Sareuropeancuphistdrawn">#REF!</definedName>
    <definedName name="Sareuropeancuphistlost">#REF!</definedName>
    <definedName name="Sareuropeancuphistplayed">#REF!</definedName>
    <definedName name="Sareuropeancuphistptsagainst">#REF!</definedName>
    <definedName name="Sareuropeancuphistptsscored">#REF!</definedName>
    <definedName name="Sareuropeancuphisttriesagainst">#REF!</definedName>
    <definedName name="Sareuropeancuphisttriesscored">#REF!</definedName>
    <definedName name="Sareuropeancuphistwon">#REF!</definedName>
    <definedName name="sareuroseasontotalsdgs">#REF!</definedName>
    <definedName name="sareuroseasontotalsdrawn">#REF!</definedName>
    <definedName name="sareuroseasontotalslosingbonusconceded">#REF!</definedName>
    <definedName name="sareuroseasontotalslosingbonusscored">#REF!</definedName>
    <definedName name="sareuroseasontotalslost">#REF!</definedName>
    <definedName name="sareuroseasontotalsplayed">#REF!</definedName>
    <definedName name="sareuroseasontotalsptsagainst">#REF!</definedName>
    <definedName name="sareuroseasontotalsptsscored">#REF!</definedName>
    <definedName name="sareuroseasontotalsrc">#REF!</definedName>
    <definedName name="sareuroseasontotalstriesconceded">#REF!</definedName>
    <definedName name="sareuroseasontotalstriesscored">#REF!</definedName>
    <definedName name="sareuroseasontotalstrybonusconceed">#REF!</definedName>
    <definedName name="sareuroseasontotalstrybonusscored">#REF!</definedName>
    <definedName name="sareuroseasontotalswon">#REF!</definedName>
    <definedName name="sareuroseasontotalsyc">#REF!</definedName>
    <definedName name="Sarpremhistdgs">#REF!</definedName>
    <definedName name="Sarpremhistdrawn">#REF!</definedName>
    <definedName name="Sarpremhistlost">#REF!</definedName>
    <definedName name="Sarpremhistplayed">#REF!</definedName>
    <definedName name="Sarpremhistptsagainst">#REF!</definedName>
    <definedName name="Sarpremhistptsscored">#REF!</definedName>
    <definedName name="Sarpremhisttriesagainst">#REF!</definedName>
    <definedName name="Sarpremhisttriesscored">#REF!</definedName>
    <definedName name="Sarpremhistwon">#REF!</definedName>
    <definedName name="sarpremporc">#REF!</definedName>
    <definedName name="sarprempotriesconceded">#REF!</definedName>
    <definedName name="sarprempotriesscored">#REF!</definedName>
    <definedName name="sarprempoyc">#REF!</definedName>
    <definedName name="sarpremregdrawn">#REF!</definedName>
    <definedName name="sarpremreglost">#REF!</definedName>
    <definedName name="sarpremregpld">#REF!</definedName>
    <definedName name="sarpremregpts">#REF!</definedName>
    <definedName name="sarpremregptsagainst">#REF!</definedName>
    <definedName name="sarpremregwon">#REF!</definedName>
    <definedName name="Sarpremtotalscorrectdgs">#REF!</definedName>
    <definedName name="Sarpremtotalscorrectdrawn">#REF!</definedName>
    <definedName name="Sarpremtotalscorrectlosingbonusconc">#REF!</definedName>
    <definedName name="Sarpremtotalscorrectlosingbonusscored">#REF!</definedName>
    <definedName name="Sarpremtotalscorrectlost">#REF!</definedName>
    <definedName name="Sarpremtotalscorrectplayed">#REF!</definedName>
    <definedName name="Sarpremtotalscorrectptsagainst">#REF!</definedName>
    <definedName name="Sarpremtotalscorrectptsscored">#REF!</definedName>
    <definedName name="Sarpremtotalscorrectrc">#REF!</definedName>
    <definedName name="Sarpremtotalscorrecttriesconc">#REF!</definedName>
    <definedName name="Sarpremtotalscorrecttriesscored">#REF!</definedName>
    <definedName name="Sarpremtotalscorrecttrybonusconc">#REF!</definedName>
    <definedName name="Sarpremtotalscorrecttrybonusscored">#REF!</definedName>
    <definedName name="Sarpremtotalscorrectwon">#REF!</definedName>
    <definedName name="Sarpremtotalscorrectyc">#REF!</definedName>
    <definedName name="Sarpremtotalsdgs">#REF!</definedName>
    <definedName name="Sarpremtotalslost">#REF!</definedName>
    <definedName name="Sarpremtotalsplayed">#REF!</definedName>
    <definedName name="Sarpremtotalsptsagainst">#REF!</definedName>
    <definedName name="Sarpremtotalsptsscored">#REF!</definedName>
    <definedName name="Sarpremtotalsrc">#REF!</definedName>
    <definedName name="Sarpremtotalstriesconceded">#REF!</definedName>
    <definedName name="Sarpremtotalstriesscored">#REF!</definedName>
    <definedName name="Sarpremtotalswon">#REF!</definedName>
    <definedName name="Sarpremtotalsyc">#REF!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tfwpremseasontotalsdrawn">TFW!$Z$26</definedName>
    <definedName name="tfwpremseasontotalslost">TFW!$AA$26</definedName>
    <definedName name="tfwpremseasontotalsplayed">TFW!$X$26</definedName>
    <definedName name="tfwpremseasontotalsptsagainst">TFW!$G$26</definedName>
    <definedName name="tfwpremseasontotalsptsscored">TFW!$F$26</definedName>
    <definedName name="tfwpremseasontotalswon">TFW!$Y$26</definedName>
    <definedName name="trailfindersPWRhistdrawn">Sum!$E$13</definedName>
    <definedName name="trailfindersPWRhistlost">Sum!$D$13</definedName>
    <definedName name="trailfindersPWRhistplayed">Sum!$B$13</definedName>
    <definedName name="trailfindersPWRhistptsaga">Sum!$H$13</definedName>
    <definedName name="trailfindersPWRhistptsfor">Sum!$G$13</definedName>
    <definedName name="trailfindersPWRhistwon">Sum!$C$13</definedName>
    <definedName name="trailfinderswomenrc">TFW!$O$26</definedName>
    <definedName name="trailfinderswomenyc">TFW!$N$26</definedName>
    <definedName name="Waschallcuphistdgs">#REF!</definedName>
    <definedName name="Waschallcuphistdrawn">#REF!</definedName>
    <definedName name="Waschallcuphistlost">#REF!</definedName>
    <definedName name="Waschallcuphistplayed">#REF!</definedName>
    <definedName name="Waschallcuphistptsagainst">#REF!</definedName>
    <definedName name="Waschallcuphistptsscored">#REF!</definedName>
    <definedName name="Waschallcuphisttriesagainst">#REF!</definedName>
    <definedName name="Waschallcuphisttriesscored">#REF!</definedName>
    <definedName name="Waschallcuphistwon">#REF!</definedName>
    <definedName name="Waschampscupdgs">#REF!</definedName>
    <definedName name="Waschampscupdrawn">#REF!</definedName>
    <definedName name="Waschampscuphistdgs">#REF!</definedName>
    <definedName name="Waschampscuphistdrawn">#REF!</definedName>
    <definedName name="Waschampscuphistlost">#REF!</definedName>
    <definedName name="Waschampscuphistplayed">#REF!</definedName>
    <definedName name="Waschampscuphistptsagainst">#REF!</definedName>
    <definedName name="Waschampscuphistptsscored">#REF!</definedName>
    <definedName name="Waschampscuphisttriesagainst">#REF!</definedName>
    <definedName name="Waschampscuphisttriesscored">#REF!</definedName>
    <definedName name="Waschampscuphistwon">#REF!</definedName>
    <definedName name="Waschampscuplost">#REF!</definedName>
    <definedName name="Waschampscupplayed">#REF!</definedName>
    <definedName name="Waschampscuppohistdgs">#REF!</definedName>
    <definedName name="Waschampscuppohistdrawn">#REF!</definedName>
    <definedName name="Waschampscuppohistlost">#REF!</definedName>
    <definedName name="Waschampscuppohistplayed">#REF!</definedName>
    <definedName name="Waschampscuppohistptsagainst">#REF!</definedName>
    <definedName name="Waschampscuppohistptsscored">#REF!</definedName>
    <definedName name="Waschampscuppohisttriesagainst">#REF!</definedName>
    <definedName name="Waschampscuppohisttriesscored">#REF!</definedName>
    <definedName name="Waschampscuppohistwon">#REF!</definedName>
    <definedName name="Waschampscupptsagainst">#REF!</definedName>
    <definedName name="Waschampscupptsscored">#REF!</definedName>
    <definedName name="Waschampscuptriesagainst">#REF!</definedName>
    <definedName name="Waschampscuptriesscored">#REF!</definedName>
    <definedName name="Waschampscupwon">#REF!</definedName>
    <definedName name="wasdg">#REF!</definedName>
    <definedName name="waspolost">#REF!</definedName>
    <definedName name="waspopld">#REF!</definedName>
    <definedName name="waspoptsag">#REF!</definedName>
    <definedName name="waspoptsscored">#REF!</definedName>
    <definedName name="waspotriesag">#REF!</definedName>
    <definedName name="waspotriesscored">#REF!</definedName>
    <definedName name="waspoyellow">#REF!</definedName>
    <definedName name="Waspremhistdgs">#REF!</definedName>
    <definedName name="Waspremhistdrawn">#REF!</definedName>
    <definedName name="Waspremhistlost">#REF!</definedName>
    <definedName name="Waspremhistplayed">#REF!</definedName>
    <definedName name="Waspremhistptsagainst">#REF!</definedName>
    <definedName name="Waspremhistptsscored">#REF!</definedName>
    <definedName name="Waspremhisttriesagainst">#REF!</definedName>
    <definedName name="Waspremhisttriesscored">#REF!</definedName>
    <definedName name="Waspremhistwon">#REF!</definedName>
    <definedName name="waspsbonus">#REF!</definedName>
    <definedName name="waspsconceded">#REF!</definedName>
    <definedName name="waspsdrawn">#REF!</definedName>
    <definedName name="waspsdrawncorrect">#REF!</definedName>
    <definedName name="waspseuropeseasontotalscorrect">#REF!</definedName>
    <definedName name="waspseuropeseasontotalsdgs">#REF!</definedName>
    <definedName name="waspseuropeseasontotalsdgscorrect">#REF!</definedName>
    <definedName name="waspseuropeseasontotalsdrawn">#REF!</definedName>
    <definedName name="waspseuropeseasontotalsdrawncorrect">#REF!</definedName>
    <definedName name="waspseuropeseasontotalslost">#REF!</definedName>
    <definedName name="waspseuropeseasontotalslostcorrect">#REF!</definedName>
    <definedName name="waspseuropeseasontotalsplayed">#REF!</definedName>
    <definedName name="waspseuropeseasontotalsplayedcorrect">#REF!</definedName>
    <definedName name="waspseuropeseasontotalsptsagainst">#REF!</definedName>
    <definedName name="waspseuropeseasontotalsptsagainstcorrect">#REF!</definedName>
    <definedName name="waspseuropeseasontotalsptsscored">#REF!</definedName>
    <definedName name="waspseuropeseasontotalsptsscoredcorrect">#REF!</definedName>
    <definedName name="waspseuropeseasontotalsRC">#REF!</definedName>
    <definedName name="waspseuropeseasontotalsRCcorrect">#REF!</definedName>
    <definedName name="waspseuropeseasontotalstriesconceded">#REF!</definedName>
    <definedName name="waspseuropeseasontotalstriesconcededcorrect">#REF!</definedName>
    <definedName name="waspseuropeseasontotalstriesscored">#REF!</definedName>
    <definedName name="waspseuropeseasontotalstriesscoredcorrect">#REF!</definedName>
    <definedName name="waspseuropeseasontotalswon">#REF!</definedName>
    <definedName name="waspseuropeseasontotalswoncorrect">#REF!</definedName>
    <definedName name="waspseuropeseasontotalsYC">#REF!</definedName>
    <definedName name="waspseuropeseasontotalsYCcorrect">#REF!</definedName>
    <definedName name="waspslosingbonus">#REF!</definedName>
    <definedName name="waspslosingbonusconceded">#REF!</definedName>
    <definedName name="waspslost">#REF!</definedName>
    <definedName name="waspsplayed">#REF!</definedName>
    <definedName name="waspspremdrawn">#REF!</definedName>
    <definedName name="waspspremdropgoalsscored">#REF!</definedName>
    <definedName name="Waspspremhistdrawn">#REF!</definedName>
    <definedName name="Waspspremhistlost">#REF!</definedName>
    <definedName name="Waspspremhistplayed">#REF!</definedName>
    <definedName name="Waspspremhistptsagainst">#REF!</definedName>
    <definedName name="Waspspremhistptsscored">#REF!</definedName>
    <definedName name="Waspspremhisttriesagainst">#REF!</definedName>
    <definedName name="Waspspremhisttriesscored">#REF!</definedName>
    <definedName name="Waspspremhistwon">#REF!</definedName>
    <definedName name="waspspremlosingbonusconc">#REF!</definedName>
    <definedName name="waspspremlosingbonusscored">#REF!</definedName>
    <definedName name="waspspremlost">#REF!</definedName>
    <definedName name="waspspremplayed">#REF!</definedName>
    <definedName name="waspsprempodgs">#REF!</definedName>
    <definedName name="waspsprempolost">#REF!</definedName>
    <definedName name="waspsprempoplayed">#REF!</definedName>
    <definedName name="waspsprempoptsagainst">#REF!</definedName>
    <definedName name="waspsprempoptsscored">#REF!</definedName>
    <definedName name="waspsprempoRC">#REF!</definedName>
    <definedName name="waspsprempotriesagainst">#REF!</definedName>
    <definedName name="waspsprempotriesscored">#REF!</definedName>
    <definedName name="waspsprempowon">#REF!</definedName>
    <definedName name="waspsprempoYC">#REF!</definedName>
    <definedName name="waspspremptsagainst">#REF!</definedName>
    <definedName name="waspspremptsscored">#REF!</definedName>
    <definedName name="waspspremred">#REF!</definedName>
    <definedName name="Waspspremtotalsdgs">#REF!</definedName>
    <definedName name="waspspremtotalsdrawn">#REF!</definedName>
    <definedName name="Waspspremtotalslost">#REF!</definedName>
    <definedName name="Waspspremtotalsplayed">#REF!</definedName>
    <definedName name="Waspspremtotalsptsagainst">#REF!</definedName>
    <definedName name="Waspspremtotalsptsscored">#REF!</definedName>
    <definedName name="Waspspremtotalsrc">#REF!</definedName>
    <definedName name="Waspspremtotalstriesconceded">#REF!</definedName>
    <definedName name="Waspspremtotalstriesscored">#REF!</definedName>
    <definedName name="Waspspremtotalswon">#REF!</definedName>
    <definedName name="Waspspremtotalsyc">#REF!</definedName>
    <definedName name="waspspremtriesconceded">#REF!</definedName>
    <definedName name="waspspremtriesscored">#REF!</definedName>
    <definedName name="waspspremtrybonusconc">#REF!</definedName>
    <definedName name="waspspremtrybonusscored">#REF!</definedName>
    <definedName name="waspspremwon">#REF!</definedName>
    <definedName name="waspspremyellow">#REF!</definedName>
    <definedName name="waspsred">#REF!</definedName>
    <definedName name="waspsscored">#REF!</definedName>
    <definedName name="waspstriesconceded">#REF!</definedName>
    <definedName name="waspstriesscored">#REF!</definedName>
    <definedName name="waspstrybonus">#REF!</definedName>
    <definedName name="waspstrybonusconceded">#REF!</definedName>
    <definedName name="waspswon">#REF!</definedName>
    <definedName name="waspsyellow">#REF!</definedName>
    <definedName name="welshlosingbonus">#REF!</definedName>
    <definedName name="welshtrybonus">#REF!</definedName>
    <definedName name="wor1516drawn">#REF!</definedName>
    <definedName name="wor1516lb">#REF!</definedName>
    <definedName name="wor1516lbcon">#REF!</definedName>
    <definedName name="wor1516lost">#REF!</definedName>
    <definedName name="wor1516ptsagainst">#REF!</definedName>
    <definedName name="wor1516ptsscored">#REF!</definedName>
    <definedName name="wor1516red">#REF!</definedName>
    <definedName name="wor1516tb">#REF!</definedName>
    <definedName name="wor1516tbcon">#REF!</definedName>
    <definedName name="wor1516triescon">#REF!</definedName>
    <definedName name="wor1516triesscored">#REF!</definedName>
    <definedName name="Wor1516won">#REF!</definedName>
    <definedName name="wor1516yellow">#REF!</definedName>
    <definedName name="worbonus">#REF!</definedName>
    <definedName name="worcester201314triesagainst">#REF!</definedName>
    <definedName name="worcestereuropeseasontotalsdgs">#REF!</definedName>
    <definedName name="worcestereuropeseasontotalsdrawn">#REF!</definedName>
    <definedName name="worcestereuropeseasontotalslost">#REF!</definedName>
    <definedName name="worcestereuropeseasontotalsplayed">#REF!</definedName>
    <definedName name="worcestereuropeseasontotalsptsagainst">#REF!</definedName>
    <definedName name="worcestereuropeseasontotalsptsscored">#REF!</definedName>
    <definedName name="worcestereuropeseasontotalsRC">#REF!</definedName>
    <definedName name="worcestereuropeseasontotalstriesconceded">#REF!</definedName>
    <definedName name="worcestereuropeseasontotalstriesscored">#REF!</definedName>
    <definedName name="worcestereuropeseasontotalswon">#REF!</definedName>
    <definedName name="worcestereuropeseasontotalsYC">#REF!</definedName>
    <definedName name="worcesterpremdrawn">#REF!</definedName>
    <definedName name="worcesterpremdropgoalsscored">#REF!</definedName>
    <definedName name="Worcesterpremhistorydrawn">#REF!</definedName>
    <definedName name="worcesterpremhistorydropgoals">#REF!</definedName>
    <definedName name="Worcesterpremhistorylost">#REF!</definedName>
    <definedName name="Worcesterpremhistoryplayed">#REF!</definedName>
    <definedName name="worcesterpremhistoryptsagainst">#REF!</definedName>
    <definedName name="Worcesterpremhistoryptsscored">#REF!</definedName>
    <definedName name="worcesterpremhistorytriesagainst">#REF!</definedName>
    <definedName name="worcesterpremhistorytriesscored">#REF!</definedName>
    <definedName name="Worcesterpremhistorywon">#REF!</definedName>
    <definedName name="worcesterpremlosingbonussconc">#REF!</definedName>
    <definedName name="worcesterpremlosingbonusscored">#REF!</definedName>
    <definedName name="worcesterpremlostr">#REF!</definedName>
    <definedName name="worcesterpremplayed">#REF!</definedName>
    <definedName name="worcesterpremptsagainst">#REF!</definedName>
    <definedName name="worcesterpremptsscored">#REF!</definedName>
    <definedName name="worcesterpremred">#REF!</definedName>
    <definedName name="worcesterpremseasontotalsdgs">#REF!</definedName>
    <definedName name="worcesterpremseasontotalsdrawn">#REF!</definedName>
    <definedName name="worcesterpremseasontotalslost">#REF!</definedName>
    <definedName name="worcesterpremseasontotalsplayed">#REF!</definedName>
    <definedName name="worcesterpremseasontotalsptsagainst">#REF!</definedName>
    <definedName name="worcesterpremseasontotalsptsscored">#REF!</definedName>
    <definedName name="worcesterpremseasontotalsRC">#REF!</definedName>
    <definedName name="worcesterpremseasontotalstriesconceded">#REF!</definedName>
    <definedName name="worcesterpremseasontotalstriesscored">#REF!</definedName>
    <definedName name="worcesterpremseasontotalstriesscoredcorrect">#REF!</definedName>
    <definedName name="worcesterpremseasontotalswon">#REF!</definedName>
    <definedName name="worcesterpremseasontotalsYC">#REF!</definedName>
    <definedName name="worcesterpremtriesscored">#REF!</definedName>
    <definedName name="worcesterpremtrioesconc">#REF!</definedName>
    <definedName name="worcesterpremtrybonusconc">#REF!</definedName>
    <definedName name="worcesterpremtrybonusscored">#REF!</definedName>
    <definedName name="worcesterpremwon">#REF!</definedName>
    <definedName name="worcesterpremyellow">#REF!</definedName>
    <definedName name="worcestertriesscored">#REF!</definedName>
    <definedName name="Worchallcupdgs">#REF!</definedName>
    <definedName name="Worchallcupdrawn">#REF!</definedName>
    <definedName name="Worchallcuphistdgs">#REF!</definedName>
    <definedName name="Worchallcuphistdrawn">#REF!</definedName>
    <definedName name="Worchallcuphistlost">#REF!</definedName>
    <definedName name="Worchallcuphistplayed">#REF!</definedName>
    <definedName name="Worchallcuphistptsagainst">#REF!</definedName>
    <definedName name="Worchallcuphistptsscored">#REF!</definedName>
    <definedName name="Worchallcuphisttriesagainst">#REF!</definedName>
    <definedName name="Worchallcuphisttriesscored">#REF!</definedName>
    <definedName name="Worchallcuphistwon">#REF!</definedName>
    <definedName name="Worchallcuplost">#REF!</definedName>
    <definedName name="Worchallcupplayed">#REF!</definedName>
    <definedName name="Worchallcupptsagainst">#REF!</definedName>
    <definedName name="Worchallcupptsscored">#REF!</definedName>
    <definedName name="Worchallcuptriesagainst">#REF!</definedName>
    <definedName name="Worchallcuptriesscored">#REF!</definedName>
    <definedName name="Worchallcupwon">#REF!</definedName>
    <definedName name="Worchampscuphistdgs">#REF!</definedName>
    <definedName name="Worchampscuphistdrawn">#REF!</definedName>
    <definedName name="Worchampscuphistlost">#REF!</definedName>
    <definedName name="Worchampscuphistplayed">#REF!</definedName>
    <definedName name="Worchampscuphistptsagainst">#REF!</definedName>
    <definedName name="Worchampscuphistptsscored">#REF!</definedName>
    <definedName name="Worchampscuphisttriesagaionst">#REF!</definedName>
    <definedName name="Worchampscuphisttriesscored">#REF!</definedName>
    <definedName name="Worchampscuphistwon">#REF!</definedName>
    <definedName name="Worchampscuppohistdgs">#REF!</definedName>
    <definedName name="Worchampscuppohistdrawn">#REF!</definedName>
    <definedName name="Worchampscuppohistlost">#REF!</definedName>
    <definedName name="Worchampscuppohistplayed">#REF!</definedName>
    <definedName name="Worchampscuppohistptsagainst">#REF!</definedName>
    <definedName name="Worchampscuppohistptsscored">#REF!</definedName>
    <definedName name="Worchampscuppohisttriesagainst">#REF!</definedName>
    <definedName name="Worchampscuppohisttriesscored">#REF!</definedName>
    <definedName name="Worchampscuppohistwon">#REF!</definedName>
    <definedName name="worconceded">#REF!</definedName>
    <definedName name="wordg">#REF!</definedName>
    <definedName name="wordrawn">#REF!</definedName>
    <definedName name="Woreuropeancuphistdgs">#REF!</definedName>
    <definedName name="Woreuropeancuphistdrawn">#REF!</definedName>
    <definedName name="Woreuropeancuphistlost">#REF!</definedName>
    <definedName name="Woreuropeancuphistplayed">#REF!</definedName>
    <definedName name="Woreuropeancuphistptsagainst">#REF!</definedName>
    <definedName name="Woreuropeancuphistptsscored">#REF!</definedName>
    <definedName name="Woreuropeancuphisttriesagainst">#REF!</definedName>
    <definedName name="Woreuropeancuphisttriesscored">#REF!</definedName>
    <definedName name="Woreuropeancuphistwon">#REF!</definedName>
    <definedName name="worlosingbonus">#REF!</definedName>
    <definedName name="worlosingbonusconceded">#REF!</definedName>
    <definedName name="worlost">#REF!</definedName>
    <definedName name="worplayed">#REF!</definedName>
    <definedName name="Worpld">#REF!</definedName>
    <definedName name="Worpremhistdgs">#REF!</definedName>
    <definedName name="Worpremhistdrawn">#REF!</definedName>
    <definedName name="Worpremhistlost">#REF!</definedName>
    <definedName name="Worpremhistplayed">#REF!</definedName>
    <definedName name="Worpremhistptsagainst">#REF!</definedName>
    <definedName name="Worpremhistptsscored">#REF!</definedName>
    <definedName name="Worpremhisttriesagainst">#REF!</definedName>
    <definedName name="Worpremhisttriesscored">#REF!</definedName>
    <definedName name="Worpremhistwon">#REF!</definedName>
    <definedName name="worred">#REF!</definedName>
    <definedName name="worscored">#REF!</definedName>
    <definedName name="wortriesconceded">#REF!</definedName>
    <definedName name="wortriesscored">#REF!</definedName>
    <definedName name="wortrybonus">#REF!</definedName>
    <definedName name="wortrybonusconceded">#REF!</definedName>
    <definedName name="worwon">#REF!</definedName>
    <definedName name="woryellow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8" i="23" l="1"/>
  <c r="N5" i="23"/>
  <c r="N4" i="23"/>
  <c r="N9" i="23"/>
  <c r="N11" i="23"/>
  <c r="N10" i="23"/>
  <c r="N3" i="23"/>
  <c r="N6" i="23"/>
  <c r="N7" i="23"/>
  <c r="H29" i="4"/>
  <c r="E29" i="4"/>
  <c r="H28" i="4"/>
  <c r="E28" i="4"/>
  <c r="H27" i="4"/>
  <c r="E27" i="4"/>
  <c r="R65" i="24"/>
  <c r="P65" i="24"/>
  <c r="H26" i="4"/>
  <c r="E26" i="4"/>
  <c r="H25" i="4"/>
  <c r="E25" i="4"/>
  <c r="H24" i="4"/>
  <c r="E24" i="4"/>
  <c r="R45" i="24"/>
  <c r="Q45" i="24" s="1"/>
  <c r="P45" i="24"/>
  <c r="H23" i="4"/>
  <c r="E23" i="4"/>
  <c r="H22" i="4"/>
  <c r="E22" i="4"/>
  <c r="H21" i="4"/>
  <c r="E21" i="4"/>
  <c r="B29" i="4" l="1"/>
  <c r="B28" i="4"/>
  <c r="Q65" i="24"/>
  <c r="B27" i="4"/>
  <c r="B26" i="4"/>
  <c r="B25" i="4"/>
  <c r="B24" i="4"/>
  <c r="B23" i="4"/>
  <c r="B22" i="4"/>
  <c r="B21" i="4"/>
  <c r="H20" i="4"/>
  <c r="E20" i="4"/>
  <c r="B20" i="4" l="1"/>
  <c r="H19" i="4"/>
  <c r="E19" i="4"/>
  <c r="B19" i="4" l="1"/>
  <c r="H18" i="4"/>
  <c r="E18" i="4"/>
  <c r="AM30" i="16"/>
  <c r="AL30" i="16"/>
  <c r="AK30" i="16"/>
  <c r="AJ30" i="16"/>
  <c r="AI30" i="16"/>
  <c r="AH30" i="16"/>
  <c r="AG30" i="16"/>
  <c r="AF30" i="16"/>
  <c r="AE30" i="16"/>
  <c r="AD30" i="16"/>
  <c r="AC30" i="16"/>
  <c r="AB30" i="16"/>
  <c r="AA30" i="16"/>
  <c r="Z30" i="16"/>
  <c r="Y30" i="16"/>
  <c r="X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AM31" i="9"/>
  <c r="AL31" i="9"/>
  <c r="AK31" i="9"/>
  <c r="AJ31" i="9"/>
  <c r="AI31" i="9"/>
  <c r="AH31" i="9"/>
  <c r="AG31" i="9"/>
  <c r="AF31" i="9"/>
  <c r="AE31" i="9"/>
  <c r="AE32" i="9" s="1"/>
  <c r="AD31" i="9"/>
  <c r="AC31" i="9"/>
  <c r="AC32" i="9" s="1"/>
  <c r="AB31" i="9"/>
  <c r="AB32" i="9" s="1"/>
  <c r="AA31" i="9"/>
  <c r="AA32" i="9" s="1"/>
  <c r="Z31" i="9"/>
  <c r="Z32" i="9" s="1"/>
  <c r="Y31" i="9"/>
  <c r="X31" i="9"/>
  <c r="R31" i="9"/>
  <c r="Q31" i="9"/>
  <c r="Q32" i="9" s="1"/>
  <c r="P31" i="9"/>
  <c r="P32" i="9" s="1"/>
  <c r="O31" i="9"/>
  <c r="N31" i="9"/>
  <c r="M31" i="9"/>
  <c r="L31" i="9"/>
  <c r="L32" i="9" s="1"/>
  <c r="K31" i="9"/>
  <c r="J31" i="9"/>
  <c r="J32" i="9" s="1"/>
  <c r="I31" i="9"/>
  <c r="I32" i="9" s="1"/>
  <c r="H31" i="9"/>
  <c r="G31" i="9"/>
  <c r="G32" i="9" s="1"/>
  <c r="F31" i="9"/>
  <c r="AM30" i="9"/>
  <c r="AL30" i="9"/>
  <c r="AK30" i="9"/>
  <c r="AJ30" i="9"/>
  <c r="AI30" i="9"/>
  <c r="AH30" i="9"/>
  <c r="AG30" i="9"/>
  <c r="AG32" i="9" s="1"/>
  <c r="AF30" i="9"/>
  <c r="AF32" i="9" s="1"/>
  <c r="AE30" i="9"/>
  <c r="AD30" i="9"/>
  <c r="AD32" i="9" s="1"/>
  <c r="AC30" i="9"/>
  <c r="AB30" i="9"/>
  <c r="AA30" i="9"/>
  <c r="Z30" i="9"/>
  <c r="Y30" i="9"/>
  <c r="X30" i="9"/>
  <c r="R30" i="9"/>
  <c r="R32" i="9" s="1"/>
  <c r="Q30" i="9"/>
  <c r="P30" i="9"/>
  <c r="O30" i="9"/>
  <c r="O32" i="9" s="1"/>
  <c r="N30" i="9"/>
  <c r="M30" i="9"/>
  <c r="L30" i="9"/>
  <c r="K30" i="9"/>
  <c r="J30" i="9"/>
  <c r="I30" i="9"/>
  <c r="H30" i="9"/>
  <c r="G30" i="9"/>
  <c r="F30" i="9"/>
  <c r="AI32" i="9"/>
  <c r="AH32" i="9"/>
  <c r="K32" i="9"/>
  <c r="H32" i="9"/>
  <c r="F32" i="9"/>
  <c r="AM31" i="15"/>
  <c r="AL31" i="15"/>
  <c r="AK31" i="15"/>
  <c r="AJ31" i="15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AM28" i="15"/>
  <c r="AM30" i="15" s="1"/>
  <c r="AL28" i="15"/>
  <c r="AK28" i="15"/>
  <c r="AJ28" i="15"/>
  <c r="AI28" i="15"/>
  <c r="AH28" i="15"/>
  <c r="AH30" i="15" s="1"/>
  <c r="AG28" i="15"/>
  <c r="AF28" i="15"/>
  <c r="AE28" i="15"/>
  <c r="AD28" i="15"/>
  <c r="AC28" i="15"/>
  <c r="AB28" i="15"/>
  <c r="AA28" i="15"/>
  <c r="Z28" i="15"/>
  <c r="Y28" i="15"/>
  <c r="Y30" i="15" s="1"/>
  <c r="X28" i="15"/>
  <c r="X30" i="15" s="1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F30" i="15" s="1"/>
  <c r="AM31" i="19"/>
  <c r="AL31" i="19"/>
  <c r="AK31" i="19"/>
  <c r="AJ31" i="19"/>
  <c r="AI31" i="19"/>
  <c r="AH31" i="19"/>
  <c r="AG31" i="19"/>
  <c r="AF31" i="19"/>
  <c r="AE31" i="19"/>
  <c r="AD31" i="19"/>
  <c r="AC31" i="19"/>
  <c r="AB31" i="19"/>
  <c r="AA31" i="19"/>
  <c r="Z31" i="19"/>
  <c r="Y31" i="19"/>
  <c r="X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B30" i="19" s="1"/>
  <c r="AA28" i="19"/>
  <c r="AA30" i="19" s="1"/>
  <c r="Z28" i="19"/>
  <c r="Z30" i="19" s="1"/>
  <c r="Y28" i="19"/>
  <c r="Y30" i="19" s="1"/>
  <c r="X28" i="19"/>
  <c r="X30" i="19" s="1"/>
  <c r="R28" i="19"/>
  <c r="Q28" i="19"/>
  <c r="P28" i="19"/>
  <c r="O28" i="19"/>
  <c r="N28" i="19"/>
  <c r="M28" i="19"/>
  <c r="L28" i="19"/>
  <c r="K28" i="19"/>
  <c r="K30" i="19" s="1"/>
  <c r="J28" i="19"/>
  <c r="I28" i="19"/>
  <c r="H28" i="19"/>
  <c r="G28" i="19"/>
  <c r="F28" i="19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Y29" i="18"/>
  <c r="X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B28" i="18" s="1"/>
  <c r="AA26" i="18"/>
  <c r="AA28" i="18" s="1"/>
  <c r="Z26" i="18"/>
  <c r="Z28" i="18" s="1"/>
  <c r="Y26" i="18"/>
  <c r="Y28" i="18" s="1"/>
  <c r="X26" i="18"/>
  <c r="X28" i="18" s="1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AM32" i="17"/>
  <c r="AL32" i="17"/>
  <c r="AK32" i="17"/>
  <c r="AJ32" i="17"/>
  <c r="AI32" i="17"/>
  <c r="AH32" i="17"/>
  <c r="AG32" i="17"/>
  <c r="AF32" i="17"/>
  <c r="AE32" i="17"/>
  <c r="AD32" i="17"/>
  <c r="AC32" i="17"/>
  <c r="AB32" i="17"/>
  <c r="AA32" i="17"/>
  <c r="Z32" i="17"/>
  <c r="Y32" i="17"/>
  <c r="X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AM30" i="17"/>
  <c r="AL30" i="17"/>
  <c r="AK30" i="17"/>
  <c r="AJ30" i="17"/>
  <c r="AI30" i="17"/>
  <c r="AH30" i="17"/>
  <c r="AG30" i="17"/>
  <c r="AF30" i="17"/>
  <c r="AE30" i="17"/>
  <c r="AD30" i="17"/>
  <c r="AC30" i="17"/>
  <c r="AB30" i="17"/>
  <c r="AB31" i="17" s="1"/>
  <c r="AA30" i="17"/>
  <c r="AA31" i="17" s="1"/>
  <c r="Z30" i="17"/>
  <c r="Z31" i="17" s="1"/>
  <c r="Y30" i="17"/>
  <c r="Y31" i="17" s="1"/>
  <c r="X30" i="17"/>
  <c r="X31" i="17" s="1"/>
  <c r="R30" i="17"/>
  <c r="Q30" i="17"/>
  <c r="P30" i="17"/>
  <c r="O30" i="17"/>
  <c r="N30" i="17"/>
  <c r="M30" i="17"/>
  <c r="M31" i="17" s="1"/>
  <c r="L30" i="17"/>
  <c r="K30" i="17"/>
  <c r="J30" i="17"/>
  <c r="I30" i="17"/>
  <c r="H30" i="17"/>
  <c r="G30" i="17"/>
  <c r="F30" i="17"/>
  <c r="F31" i="17" s="1"/>
  <c r="AM29" i="17"/>
  <c r="AM31" i="17" s="1"/>
  <c r="AL29" i="17"/>
  <c r="AK29" i="17"/>
  <c r="AJ29" i="17"/>
  <c r="AJ31" i="17" s="1"/>
  <c r="AI29" i="17"/>
  <c r="AI31" i="17" s="1"/>
  <c r="AH29" i="17"/>
  <c r="AG29" i="17"/>
  <c r="AF29" i="17"/>
  <c r="AF31" i="17" s="1"/>
  <c r="AE29" i="17"/>
  <c r="AD29" i="17"/>
  <c r="AC29" i="17"/>
  <c r="AB29" i="17"/>
  <c r="AA29" i="17"/>
  <c r="Z29" i="17"/>
  <c r="Y29" i="17"/>
  <c r="X29" i="17"/>
  <c r="R29" i="17"/>
  <c r="Q29" i="17"/>
  <c r="P29" i="17"/>
  <c r="O29" i="17"/>
  <c r="O31" i="17" s="1"/>
  <c r="N29" i="17"/>
  <c r="M29" i="17"/>
  <c r="L29" i="17"/>
  <c r="L31" i="17" s="1"/>
  <c r="K29" i="17"/>
  <c r="K31" i="17" s="1"/>
  <c r="J29" i="17"/>
  <c r="J31" i="17" s="1"/>
  <c r="I29" i="17"/>
  <c r="I31" i="17" s="1"/>
  <c r="H29" i="17"/>
  <c r="H31" i="17" s="1"/>
  <c r="G29" i="17"/>
  <c r="F29" i="17"/>
  <c r="AM30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AM30" i="10"/>
  <c r="AL30" i="10"/>
  <c r="AK30" i="10"/>
  <c r="AK31" i="10" s="1"/>
  <c r="AJ30" i="10"/>
  <c r="AJ31" i="10" s="1"/>
  <c r="AI30" i="10"/>
  <c r="AI31" i="10" s="1"/>
  <c r="AH30" i="10"/>
  <c r="AH31" i="10" s="1"/>
  <c r="AG30" i="10"/>
  <c r="AG31" i="10" s="1"/>
  <c r="AF30" i="10"/>
  <c r="AF31" i="10" s="1"/>
  <c r="AE30" i="10"/>
  <c r="AE31" i="10" s="1"/>
  <c r="AD30" i="10"/>
  <c r="AD31" i="10" s="1"/>
  <c r="AC30" i="10"/>
  <c r="AC31" i="10" s="1"/>
  <c r="AB30" i="10"/>
  <c r="AA30" i="10"/>
  <c r="Z30" i="10"/>
  <c r="Y30" i="10"/>
  <c r="X30" i="10"/>
  <c r="R30" i="10"/>
  <c r="Q30" i="10"/>
  <c r="P30" i="10"/>
  <c r="O30" i="10"/>
  <c r="N30" i="10"/>
  <c r="M30" i="10"/>
  <c r="L30" i="10"/>
  <c r="L31" i="10" s="1"/>
  <c r="K30" i="10"/>
  <c r="K31" i="10" s="1"/>
  <c r="J30" i="10"/>
  <c r="J31" i="10" s="1"/>
  <c r="I30" i="10"/>
  <c r="I31" i="10" s="1"/>
  <c r="H30" i="10"/>
  <c r="H31" i="10" s="1"/>
  <c r="G30" i="10"/>
  <c r="G31" i="10" s="1"/>
  <c r="F30" i="10"/>
  <c r="F31" i="10" s="1"/>
  <c r="AM29" i="10"/>
  <c r="AM31" i="10" s="1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R29" i="10"/>
  <c r="Q29" i="10"/>
  <c r="P29" i="10"/>
  <c r="O29" i="10"/>
  <c r="N29" i="10"/>
  <c r="M29" i="10"/>
  <c r="M31" i="10" s="1"/>
  <c r="L29" i="10"/>
  <c r="K29" i="10"/>
  <c r="J29" i="10"/>
  <c r="I29" i="10"/>
  <c r="H29" i="10"/>
  <c r="G29" i="10"/>
  <c r="F29" i="10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AM31" i="14"/>
  <c r="AL31" i="14"/>
  <c r="AK31" i="14"/>
  <c r="AJ31" i="14"/>
  <c r="AJ32" i="14" s="1"/>
  <c r="AI31" i="14"/>
  <c r="AH31" i="14"/>
  <c r="AG31" i="14"/>
  <c r="AG32" i="14" s="1"/>
  <c r="AF31" i="14"/>
  <c r="AE31" i="14"/>
  <c r="AD31" i="14"/>
  <c r="AC31" i="14"/>
  <c r="AB31" i="14"/>
  <c r="AA31" i="14"/>
  <c r="Z31" i="14"/>
  <c r="Y31" i="14"/>
  <c r="X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AM30" i="14"/>
  <c r="AL30" i="14"/>
  <c r="AK30" i="14"/>
  <c r="AJ30" i="14"/>
  <c r="AI30" i="14"/>
  <c r="AH30" i="14"/>
  <c r="AH32" i="14" s="1"/>
  <c r="AG30" i="14"/>
  <c r="AF30" i="14"/>
  <c r="AF32" i="14" s="1"/>
  <c r="AE30" i="14"/>
  <c r="AE32" i="14" s="1"/>
  <c r="AD30" i="14"/>
  <c r="AD32" i="14" s="1"/>
  <c r="AC30" i="14"/>
  <c r="AC32" i="14" s="1"/>
  <c r="AB30" i="14"/>
  <c r="AA30" i="14"/>
  <c r="Z30" i="14"/>
  <c r="Y30" i="14"/>
  <c r="X30" i="14"/>
  <c r="R30" i="14"/>
  <c r="Q30" i="14"/>
  <c r="P30" i="14"/>
  <c r="O30" i="14"/>
  <c r="N30" i="14"/>
  <c r="N32" i="14" s="1"/>
  <c r="M30" i="14"/>
  <c r="M32" i="14" s="1"/>
  <c r="L30" i="14"/>
  <c r="L32" i="14" s="1"/>
  <c r="K30" i="14"/>
  <c r="J30" i="14"/>
  <c r="I30" i="14"/>
  <c r="H30" i="14"/>
  <c r="G30" i="14"/>
  <c r="F30" i="14"/>
  <c r="AM32" i="9"/>
  <c r="AL32" i="9"/>
  <c r="AK32" i="9"/>
  <c r="N32" i="9"/>
  <c r="M32" i="9"/>
  <c r="AJ32" i="9"/>
  <c r="AL30" i="15"/>
  <c r="Z30" i="15"/>
  <c r="R30" i="15"/>
  <c r="Q30" i="15"/>
  <c r="P30" i="15"/>
  <c r="O30" i="15"/>
  <c r="N30" i="15"/>
  <c r="M30" i="15"/>
  <c r="AK30" i="15"/>
  <c r="AJ30" i="15"/>
  <c r="AI30" i="15"/>
  <c r="AG30" i="15"/>
  <c r="AF30" i="15"/>
  <c r="AE30" i="15"/>
  <c r="AD30" i="15"/>
  <c r="AC30" i="15"/>
  <c r="AB30" i="15"/>
  <c r="AA30" i="15"/>
  <c r="L30" i="15"/>
  <c r="K30" i="15"/>
  <c r="J30" i="15"/>
  <c r="I30" i="15"/>
  <c r="H30" i="15"/>
  <c r="G30" i="15"/>
  <c r="AM30" i="19"/>
  <c r="R30" i="19"/>
  <c r="Q30" i="19"/>
  <c r="P30" i="19"/>
  <c r="O30" i="19"/>
  <c r="N30" i="19"/>
  <c r="AL30" i="19"/>
  <c r="AK30" i="19"/>
  <c r="AJ30" i="19"/>
  <c r="AI30" i="19"/>
  <c r="AH30" i="19"/>
  <c r="AG30" i="19"/>
  <c r="AF30" i="19"/>
  <c r="AE30" i="19"/>
  <c r="AD30" i="19"/>
  <c r="AC30" i="19"/>
  <c r="M30" i="19"/>
  <c r="L30" i="19"/>
  <c r="J30" i="19"/>
  <c r="I30" i="19"/>
  <c r="H30" i="19"/>
  <c r="G30" i="19"/>
  <c r="F30" i="19"/>
  <c r="AK28" i="18"/>
  <c r="AF28" i="18"/>
  <c r="R28" i="18"/>
  <c r="Q28" i="18"/>
  <c r="O28" i="18"/>
  <c r="L28" i="18"/>
  <c r="G28" i="18"/>
  <c r="AM28" i="18"/>
  <c r="AL28" i="18"/>
  <c r="AJ28" i="18"/>
  <c r="AI28" i="18"/>
  <c r="AH28" i="18"/>
  <c r="AG28" i="18"/>
  <c r="AE28" i="18"/>
  <c r="AD28" i="18"/>
  <c r="AC28" i="18"/>
  <c r="P28" i="18"/>
  <c r="N28" i="18"/>
  <c r="M28" i="18"/>
  <c r="K28" i="18"/>
  <c r="J28" i="18"/>
  <c r="I28" i="18"/>
  <c r="H28" i="18"/>
  <c r="F28" i="18"/>
  <c r="R31" i="17"/>
  <c r="Q31" i="17"/>
  <c r="P31" i="17"/>
  <c r="AL31" i="17"/>
  <c r="AK31" i="17"/>
  <c r="AH31" i="17"/>
  <c r="AG31" i="17"/>
  <c r="AE31" i="17"/>
  <c r="AD31" i="17"/>
  <c r="AC31" i="17"/>
  <c r="N31" i="17"/>
  <c r="AJ29" i="11"/>
  <c r="AF29" i="11"/>
  <c r="AE29" i="11"/>
  <c r="AD29" i="11"/>
  <c r="AC29" i="11"/>
  <c r="AB29" i="11"/>
  <c r="K29" i="11"/>
  <c r="I29" i="11"/>
  <c r="H29" i="11"/>
  <c r="G29" i="11"/>
  <c r="F29" i="11"/>
  <c r="AM27" i="11"/>
  <c r="AM29" i="11" s="1"/>
  <c r="AL27" i="11"/>
  <c r="AL29" i="11" s="1"/>
  <c r="AK27" i="11"/>
  <c r="AK29" i="11" s="1"/>
  <c r="AJ27" i="11"/>
  <c r="AI27" i="11"/>
  <c r="AI29" i="11" s="1"/>
  <c r="AH27" i="11"/>
  <c r="AH29" i="11" s="1"/>
  <c r="AG27" i="11"/>
  <c r="AG29" i="11" s="1"/>
  <c r="AF27" i="11"/>
  <c r="AE27" i="11"/>
  <c r="AD27" i="11"/>
  <c r="AC27" i="11"/>
  <c r="AB27" i="11"/>
  <c r="AA27" i="11"/>
  <c r="AA29" i="11" s="1"/>
  <c r="Z27" i="11"/>
  <c r="Z29" i="11" s="1"/>
  <c r="Y27" i="11"/>
  <c r="Y29" i="11" s="1"/>
  <c r="X27" i="11"/>
  <c r="X29" i="11" s="1"/>
  <c r="R27" i="11"/>
  <c r="R29" i="11" s="1"/>
  <c r="Q27" i="11"/>
  <c r="Q29" i="11" s="1"/>
  <c r="P27" i="11"/>
  <c r="P29" i="11" s="1"/>
  <c r="O27" i="11"/>
  <c r="O29" i="11" s="1"/>
  <c r="N27" i="11"/>
  <c r="N29" i="11" s="1"/>
  <c r="M27" i="11"/>
  <c r="M29" i="11" s="1"/>
  <c r="L27" i="11"/>
  <c r="L29" i="11" s="1"/>
  <c r="K27" i="11"/>
  <c r="J27" i="11"/>
  <c r="J29" i="11" s="1"/>
  <c r="I27" i="11"/>
  <c r="H27" i="11"/>
  <c r="G27" i="11"/>
  <c r="F27" i="11"/>
  <c r="R31" i="10"/>
  <c r="Q31" i="10"/>
  <c r="P31" i="10"/>
  <c r="O31" i="10"/>
  <c r="N31" i="10"/>
  <c r="AL31" i="10"/>
  <c r="R32" i="14"/>
  <c r="Q32" i="14"/>
  <c r="P32" i="14"/>
  <c r="O32" i="14"/>
  <c r="AM32" i="14"/>
  <c r="AL32" i="14"/>
  <c r="AK32" i="14"/>
  <c r="AI32" i="14"/>
  <c r="K32" i="14"/>
  <c r="J32" i="14"/>
  <c r="I32" i="14"/>
  <c r="H32" i="14"/>
  <c r="G32" i="14"/>
  <c r="F32" i="14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AM27" i="16"/>
  <c r="AL27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B18" i="4" l="1"/>
  <c r="X32" i="9"/>
  <c r="Y32" i="9"/>
  <c r="G31" i="17"/>
  <c r="X31" i="10"/>
  <c r="Y31" i="10"/>
  <c r="Z31" i="10"/>
  <c r="AA31" i="10"/>
  <c r="AB31" i="10"/>
  <c r="X32" i="14"/>
  <c r="Y32" i="14"/>
  <c r="Z32" i="14"/>
  <c r="AA32" i="14"/>
  <c r="AB32" i="14"/>
  <c r="H17" i="4" l="1"/>
  <c r="E17" i="4"/>
  <c r="B17" i="4" l="1"/>
  <c r="E16" i="4"/>
  <c r="H16" i="4"/>
  <c r="F11" i="21"/>
  <c r="L11" i="21"/>
  <c r="B16" i="4" l="1"/>
  <c r="I35" i="4"/>
  <c r="G35" i="4"/>
  <c r="F35" i="4"/>
  <c r="D35" i="4"/>
  <c r="C35" i="4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R25" i="16"/>
  <c r="O25" i="16"/>
  <c r="N25" i="16"/>
  <c r="M25" i="16"/>
  <c r="L25" i="16"/>
  <c r="K25" i="16"/>
  <c r="J25" i="16"/>
  <c r="G25" i="16"/>
  <c r="F25" i="16"/>
  <c r="AM24" i="16"/>
  <c r="AL24" i="16"/>
  <c r="AK24" i="16"/>
  <c r="AJ24" i="16"/>
  <c r="AI24" i="16"/>
  <c r="AH24" i="16"/>
  <c r="AG24" i="16"/>
  <c r="AF24" i="16"/>
  <c r="AF26" i="16" s="1"/>
  <c r="AE24" i="16"/>
  <c r="AD24" i="16"/>
  <c r="AD26" i="16" s="1"/>
  <c r="AC24" i="16"/>
  <c r="AC26" i="16" s="1"/>
  <c r="AB24" i="16"/>
  <c r="AA24" i="16"/>
  <c r="Z24" i="16"/>
  <c r="Y24" i="16"/>
  <c r="X24" i="16"/>
  <c r="R24" i="16"/>
  <c r="Q24" i="16"/>
  <c r="Q26" i="16" s="1"/>
  <c r="P24" i="16"/>
  <c r="P26" i="16" s="1"/>
  <c r="O24" i="16"/>
  <c r="N24" i="16"/>
  <c r="M24" i="16"/>
  <c r="L24" i="16"/>
  <c r="K24" i="16"/>
  <c r="J24" i="16"/>
  <c r="I24" i="16"/>
  <c r="I26" i="16" s="1"/>
  <c r="H24" i="16"/>
  <c r="H26" i="16" s="1"/>
  <c r="G24" i="16"/>
  <c r="F24" i="16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R28" i="9"/>
  <c r="O28" i="9"/>
  <c r="N28" i="9"/>
  <c r="M28" i="9"/>
  <c r="L28" i="9"/>
  <c r="K28" i="9"/>
  <c r="J28" i="9"/>
  <c r="G28" i="9"/>
  <c r="F28" i="9"/>
  <c r="AM27" i="9"/>
  <c r="AL27" i="9"/>
  <c r="AK27" i="9"/>
  <c r="AJ27" i="9"/>
  <c r="AI27" i="9"/>
  <c r="AH27" i="9"/>
  <c r="AG27" i="9"/>
  <c r="AF27" i="9"/>
  <c r="AE27" i="9"/>
  <c r="AD27" i="9"/>
  <c r="AD29" i="9" s="1"/>
  <c r="AC27" i="9"/>
  <c r="AB27" i="9"/>
  <c r="AA27" i="9"/>
  <c r="Z27" i="9"/>
  <c r="Y27" i="9"/>
  <c r="X27" i="9"/>
  <c r="R27" i="9"/>
  <c r="Q27" i="9"/>
  <c r="Q29" i="9" s="1"/>
  <c r="P27" i="9"/>
  <c r="P29" i="9" s="1"/>
  <c r="O27" i="9"/>
  <c r="N27" i="9"/>
  <c r="M27" i="9"/>
  <c r="L27" i="9"/>
  <c r="K27" i="9"/>
  <c r="J27" i="9"/>
  <c r="I27" i="9"/>
  <c r="I29" i="9" s="1"/>
  <c r="H27" i="9"/>
  <c r="H29" i="9" s="1"/>
  <c r="G27" i="9"/>
  <c r="F27" i="9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R26" i="15"/>
  <c r="O26" i="15"/>
  <c r="N26" i="15"/>
  <c r="M26" i="15"/>
  <c r="L26" i="15"/>
  <c r="K26" i="15"/>
  <c r="J26" i="15"/>
  <c r="G26" i="15"/>
  <c r="F26" i="15"/>
  <c r="AM25" i="15"/>
  <c r="AL25" i="15"/>
  <c r="AK25" i="15"/>
  <c r="AJ25" i="15"/>
  <c r="AI25" i="15"/>
  <c r="AH25" i="15"/>
  <c r="AG25" i="15"/>
  <c r="AF25" i="15"/>
  <c r="AF27" i="15" s="1"/>
  <c r="AE25" i="15"/>
  <c r="AE27" i="15" s="1"/>
  <c r="AD25" i="15"/>
  <c r="AD27" i="15" s="1"/>
  <c r="AC25" i="15"/>
  <c r="AB25" i="15"/>
  <c r="AA25" i="15"/>
  <c r="Z25" i="15"/>
  <c r="Y25" i="15"/>
  <c r="X25" i="15"/>
  <c r="R25" i="15"/>
  <c r="Q25" i="15"/>
  <c r="Q27" i="15" s="1"/>
  <c r="P25" i="15"/>
  <c r="P27" i="15" s="1"/>
  <c r="O25" i="15"/>
  <c r="N25" i="15"/>
  <c r="M25" i="15"/>
  <c r="L25" i="15"/>
  <c r="K25" i="15"/>
  <c r="J25" i="15"/>
  <c r="I25" i="15"/>
  <c r="I27" i="15" s="1"/>
  <c r="H25" i="15"/>
  <c r="H27" i="15" s="1"/>
  <c r="G25" i="15"/>
  <c r="F25" i="15"/>
  <c r="AM26" i="19"/>
  <c r="AL26" i="19"/>
  <c r="AK26" i="19"/>
  <c r="AJ26" i="19"/>
  <c r="AI26" i="19"/>
  <c r="AH26" i="19"/>
  <c r="AG26" i="19"/>
  <c r="AF26" i="19"/>
  <c r="AE26" i="19"/>
  <c r="AD26" i="19"/>
  <c r="AC26" i="19"/>
  <c r="AB26" i="19"/>
  <c r="AA26" i="19"/>
  <c r="Z26" i="19"/>
  <c r="Y26" i="19"/>
  <c r="X26" i="19"/>
  <c r="R26" i="19"/>
  <c r="O26" i="19"/>
  <c r="N26" i="19"/>
  <c r="M26" i="19"/>
  <c r="L26" i="19"/>
  <c r="K26" i="19"/>
  <c r="J26" i="19"/>
  <c r="G26" i="19"/>
  <c r="F26" i="19"/>
  <c r="AM25" i="19"/>
  <c r="AM27" i="19" s="1"/>
  <c r="AL25" i="19"/>
  <c r="AK25" i="19"/>
  <c r="AJ25" i="19"/>
  <c r="AJ27" i="19" s="1"/>
  <c r="AI25" i="19"/>
  <c r="AI27" i="19" s="1"/>
  <c r="AH25" i="19"/>
  <c r="AG25" i="19"/>
  <c r="AG27" i="19" s="1"/>
  <c r="AF25" i="19"/>
  <c r="AF27" i="19" s="1"/>
  <c r="AE25" i="19"/>
  <c r="AD25" i="19"/>
  <c r="AC25" i="19"/>
  <c r="AB25" i="19"/>
  <c r="AA25" i="19"/>
  <c r="G8" i="6" s="1"/>
  <c r="Z25" i="19"/>
  <c r="F8" i="6" s="1"/>
  <c r="Y25" i="19"/>
  <c r="E8" i="6" s="1"/>
  <c r="X25" i="19"/>
  <c r="D8" i="6" s="1"/>
  <c r="R25" i="19"/>
  <c r="F9" i="4" s="1"/>
  <c r="Q25" i="19"/>
  <c r="Q27" i="19" s="1"/>
  <c r="P25" i="19"/>
  <c r="O25" i="19"/>
  <c r="N25" i="19"/>
  <c r="N27" i="19" s="1"/>
  <c r="B3" i="22" s="1"/>
  <c r="M25" i="19"/>
  <c r="M27" i="19" s="1"/>
  <c r="L25" i="19"/>
  <c r="K25" i="19"/>
  <c r="K27" i="19" s="1"/>
  <c r="J25" i="19"/>
  <c r="B8" i="4" s="1"/>
  <c r="I25" i="19"/>
  <c r="I27" i="19" s="1"/>
  <c r="H25" i="19"/>
  <c r="G25" i="19"/>
  <c r="I8" i="6" s="1"/>
  <c r="F25" i="19"/>
  <c r="H8" i="6" s="1"/>
  <c r="AM23" i="18"/>
  <c r="AL23" i="18"/>
  <c r="AK23" i="18"/>
  <c r="AJ23" i="18"/>
  <c r="AJ25" i="18" s="1"/>
  <c r="AI23" i="18"/>
  <c r="AH23" i="18"/>
  <c r="AG23" i="18"/>
  <c r="AF23" i="18"/>
  <c r="AE23" i="18"/>
  <c r="AD23" i="18"/>
  <c r="AC23" i="18"/>
  <c r="AC25" i="18" s="1"/>
  <c r="AB23" i="18"/>
  <c r="AA23" i="18"/>
  <c r="Z23" i="18"/>
  <c r="Y23" i="18"/>
  <c r="X23" i="18"/>
  <c r="R23" i="18"/>
  <c r="Q23" i="18"/>
  <c r="Q25" i="18" s="1"/>
  <c r="P23" i="18"/>
  <c r="P25" i="18" s="1"/>
  <c r="O23" i="18"/>
  <c r="N23" i="18"/>
  <c r="M23" i="18"/>
  <c r="L23" i="18"/>
  <c r="K23" i="18"/>
  <c r="J23" i="18"/>
  <c r="I23" i="18"/>
  <c r="I25" i="18" s="1"/>
  <c r="H23" i="18"/>
  <c r="H25" i="18" s="1"/>
  <c r="G23" i="18"/>
  <c r="F23" i="18"/>
  <c r="AM27" i="17"/>
  <c r="AL27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R27" i="17"/>
  <c r="O27" i="17"/>
  <c r="N27" i="17"/>
  <c r="M27" i="17"/>
  <c r="L27" i="17"/>
  <c r="K27" i="17"/>
  <c r="J27" i="17"/>
  <c r="G27" i="17"/>
  <c r="F27" i="17"/>
  <c r="AM26" i="17"/>
  <c r="AL26" i="17"/>
  <c r="AK26" i="17"/>
  <c r="AJ26" i="17"/>
  <c r="AI26" i="17"/>
  <c r="AH26" i="17"/>
  <c r="AG26" i="17"/>
  <c r="AF26" i="17"/>
  <c r="AE26" i="17"/>
  <c r="AD26" i="17"/>
  <c r="AC26" i="17"/>
  <c r="AB26" i="17"/>
  <c r="AA26" i="17"/>
  <c r="Z26" i="17"/>
  <c r="Z28" i="17" s="1"/>
  <c r="Y26" i="17"/>
  <c r="X26" i="17"/>
  <c r="R26" i="17"/>
  <c r="Q26" i="17"/>
  <c r="Q28" i="17" s="1"/>
  <c r="P26" i="17"/>
  <c r="P28" i="17" s="1"/>
  <c r="O26" i="17"/>
  <c r="N26" i="17"/>
  <c r="M26" i="17"/>
  <c r="L26" i="17"/>
  <c r="K26" i="17"/>
  <c r="J26" i="17"/>
  <c r="I26" i="17"/>
  <c r="I28" i="17" s="1"/>
  <c r="H26" i="17"/>
  <c r="H28" i="17" s="1"/>
  <c r="G26" i="17"/>
  <c r="F26" i="17"/>
  <c r="AM25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R25" i="11"/>
  <c r="O25" i="11"/>
  <c r="N25" i="11"/>
  <c r="M25" i="11"/>
  <c r="L25" i="11"/>
  <c r="K25" i="11"/>
  <c r="J25" i="11"/>
  <c r="G25" i="11"/>
  <c r="F25" i="11"/>
  <c r="AM24" i="11"/>
  <c r="AL24" i="11"/>
  <c r="AK24" i="11"/>
  <c r="AJ24" i="11"/>
  <c r="AI24" i="11"/>
  <c r="AH24" i="11"/>
  <c r="AG24" i="11"/>
  <c r="AF24" i="11"/>
  <c r="AE24" i="11"/>
  <c r="AD24" i="11"/>
  <c r="AC24" i="11"/>
  <c r="AC26" i="11" s="1"/>
  <c r="AB24" i="11"/>
  <c r="AA24" i="11"/>
  <c r="Z24" i="11"/>
  <c r="Y24" i="11"/>
  <c r="X24" i="11"/>
  <c r="R24" i="11"/>
  <c r="Q24" i="11"/>
  <c r="Q26" i="11" s="1"/>
  <c r="P24" i="11"/>
  <c r="P26" i="11" s="1"/>
  <c r="O24" i="11"/>
  <c r="N24" i="11"/>
  <c r="M24" i="11"/>
  <c r="L24" i="11"/>
  <c r="K24" i="11"/>
  <c r="J24" i="11"/>
  <c r="I24" i="11"/>
  <c r="I26" i="11" s="1"/>
  <c r="H24" i="11"/>
  <c r="H26" i="11" s="1"/>
  <c r="G24" i="11"/>
  <c r="F24" i="11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R27" i="10"/>
  <c r="O27" i="10"/>
  <c r="N27" i="10"/>
  <c r="M27" i="10"/>
  <c r="L27" i="10"/>
  <c r="K27" i="10"/>
  <c r="J27" i="10"/>
  <c r="G27" i="10"/>
  <c r="F27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R26" i="10"/>
  <c r="Q26" i="10"/>
  <c r="Q28" i="10" s="1"/>
  <c r="P26" i="10"/>
  <c r="P28" i="10" s="1"/>
  <c r="O26" i="10"/>
  <c r="N26" i="10"/>
  <c r="M26" i="10"/>
  <c r="L26" i="10"/>
  <c r="K26" i="10"/>
  <c r="J26" i="10"/>
  <c r="I26" i="10"/>
  <c r="I28" i="10" s="1"/>
  <c r="H26" i="10"/>
  <c r="H28" i="10" s="1"/>
  <c r="G26" i="10"/>
  <c r="F26" i="10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R28" i="14"/>
  <c r="O28" i="14"/>
  <c r="N28" i="14"/>
  <c r="M28" i="14"/>
  <c r="L28" i="14"/>
  <c r="K28" i="14"/>
  <c r="J28" i="14"/>
  <c r="G28" i="14"/>
  <c r="F28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V51" i="23"/>
  <c r="V49" i="23"/>
  <c r="V47" i="23"/>
  <c r="V53" i="23"/>
  <c r="V54" i="23"/>
  <c r="V52" i="23"/>
  <c r="V46" i="23"/>
  <c r="V48" i="23"/>
  <c r="V50" i="23"/>
  <c r="AH38" i="23"/>
  <c r="AH39" i="23"/>
  <c r="AH36" i="23"/>
  <c r="AH34" i="23"/>
  <c r="AH35" i="23"/>
  <c r="AH33" i="23"/>
  <c r="AH37" i="23"/>
  <c r="AH32" i="23"/>
  <c r="AH31" i="23"/>
  <c r="AL25" i="23"/>
  <c r="AL24" i="23"/>
  <c r="AL23" i="23"/>
  <c r="AL22" i="23"/>
  <c r="AL21" i="23"/>
  <c r="AL20" i="23"/>
  <c r="AL19" i="23"/>
  <c r="AL18" i="23"/>
  <c r="AL17" i="23"/>
  <c r="H15" i="4"/>
  <c r="H35" i="4" s="1"/>
  <c r="E15" i="4"/>
  <c r="P27" i="19" l="1"/>
  <c r="H10" i="4"/>
  <c r="H27" i="19"/>
  <c r="D7" i="4"/>
  <c r="K8" i="6"/>
  <c r="AE25" i="18"/>
  <c r="AH25" i="18"/>
  <c r="AG25" i="18"/>
  <c r="AF25" i="18"/>
  <c r="AI25" i="18"/>
  <c r="AK25" i="18"/>
  <c r="AD25" i="18"/>
  <c r="N28" i="10"/>
  <c r="AM28" i="10"/>
  <c r="O28" i="10"/>
  <c r="R28" i="10"/>
  <c r="N26" i="16"/>
  <c r="AH26" i="16"/>
  <c r="X27" i="19"/>
  <c r="R27" i="19"/>
  <c r="O27" i="19"/>
  <c r="D3" i="22" s="1"/>
  <c r="AG26" i="16"/>
  <c r="X28" i="10"/>
  <c r="AD26" i="11"/>
  <c r="AF26" i="11"/>
  <c r="AG26" i="11"/>
  <c r="AH28" i="10"/>
  <c r="AG28" i="10"/>
  <c r="G28" i="10"/>
  <c r="F28" i="10"/>
  <c r="E35" i="4"/>
  <c r="B35" i="4" s="1"/>
  <c r="B15" i="4"/>
  <c r="AE26" i="11"/>
  <c r="G26" i="11"/>
  <c r="F26" i="11"/>
  <c r="N27" i="15"/>
  <c r="M27" i="15"/>
  <c r="AK26" i="16"/>
  <c r="G28" i="17"/>
  <c r="AJ28" i="17"/>
  <c r="F28" i="17"/>
  <c r="AA28" i="17"/>
  <c r="AB28" i="17"/>
  <c r="AC28" i="17"/>
  <c r="AE26" i="16"/>
  <c r="AI26" i="16"/>
  <c r="AJ26" i="16"/>
  <c r="O26" i="16"/>
  <c r="F26" i="16"/>
  <c r="G26" i="16"/>
  <c r="J26" i="16"/>
  <c r="X26" i="16"/>
  <c r="L26" i="16"/>
  <c r="AM26" i="16"/>
  <c r="K26" i="16"/>
  <c r="M26" i="16"/>
  <c r="R26" i="16"/>
  <c r="AL26" i="16"/>
  <c r="AF29" i="9"/>
  <c r="AH29" i="9"/>
  <c r="G29" i="9"/>
  <c r="H12" i="20" s="1"/>
  <c r="J29" i="9"/>
  <c r="F29" i="9"/>
  <c r="AJ29" i="9"/>
  <c r="R29" i="9"/>
  <c r="K29" i="9"/>
  <c r="X29" i="9"/>
  <c r="Y29" i="9"/>
  <c r="AA29" i="9"/>
  <c r="Z29" i="9"/>
  <c r="AC29" i="9"/>
  <c r="L29" i="9"/>
  <c r="O29" i="9"/>
  <c r="AB29" i="9"/>
  <c r="AL29" i="9"/>
  <c r="AM29" i="9"/>
  <c r="AK29" i="9"/>
  <c r="M29" i="9"/>
  <c r="AE29" i="9"/>
  <c r="AG27" i="15"/>
  <c r="AH27" i="15"/>
  <c r="L27" i="15"/>
  <c r="AM27" i="15"/>
  <c r="X27" i="15"/>
  <c r="Y27" i="15"/>
  <c r="Z27" i="15"/>
  <c r="AB27" i="15"/>
  <c r="AC27" i="15"/>
  <c r="O27" i="15"/>
  <c r="F27" i="15"/>
  <c r="AI27" i="15"/>
  <c r="AJ27" i="15"/>
  <c r="J27" i="15"/>
  <c r="AK27" i="15"/>
  <c r="R27" i="15"/>
  <c r="K27" i="15"/>
  <c r="AL27" i="15"/>
  <c r="G27" i="15"/>
  <c r="AH27" i="19"/>
  <c r="F27" i="19"/>
  <c r="Y27" i="19"/>
  <c r="Z27" i="19"/>
  <c r="AE27" i="19"/>
  <c r="AD27" i="19"/>
  <c r="G27" i="19"/>
  <c r="J27" i="19"/>
  <c r="AA27" i="19"/>
  <c r="AK27" i="19"/>
  <c r="AL27" i="19"/>
  <c r="L27" i="19"/>
  <c r="AB27" i="19"/>
  <c r="AC27" i="19"/>
  <c r="O25" i="18"/>
  <c r="G25" i="18"/>
  <c r="AL25" i="18"/>
  <c r="X25" i="18"/>
  <c r="L25" i="18"/>
  <c r="AM25" i="18"/>
  <c r="F25" i="18"/>
  <c r="J25" i="18"/>
  <c r="R25" i="18"/>
  <c r="M25" i="18"/>
  <c r="K25" i="18"/>
  <c r="N25" i="18"/>
  <c r="AL28" i="17"/>
  <c r="X28" i="17"/>
  <c r="AM28" i="17"/>
  <c r="Y28" i="17"/>
  <c r="N28" i="17"/>
  <c r="AE28" i="17"/>
  <c r="AF28" i="17"/>
  <c r="AD28" i="17"/>
  <c r="AG28" i="17"/>
  <c r="AH28" i="17"/>
  <c r="J28" i="17"/>
  <c r="AI28" i="17"/>
  <c r="K28" i="17"/>
  <c r="AK28" i="17"/>
  <c r="AH26" i="11"/>
  <c r="AI26" i="11"/>
  <c r="J26" i="11"/>
  <c r="K26" i="11"/>
  <c r="AB26" i="11"/>
  <c r="AJ26" i="11"/>
  <c r="AL26" i="11"/>
  <c r="L26" i="11"/>
  <c r="M26" i="11"/>
  <c r="AK26" i="11"/>
  <c r="AM26" i="11"/>
  <c r="N26" i="11"/>
  <c r="O26" i="11"/>
  <c r="AE28" i="10"/>
  <c r="AF28" i="10"/>
  <c r="AK28" i="10"/>
  <c r="J28" i="10"/>
  <c r="AI28" i="10"/>
  <c r="AC28" i="10"/>
  <c r="AJ28" i="10"/>
  <c r="K28" i="10"/>
  <c r="L28" i="10"/>
  <c r="M28" i="10"/>
  <c r="Z28" i="10"/>
  <c r="AL28" i="10"/>
  <c r="Y28" i="10"/>
  <c r="AA28" i="10"/>
  <c r="AB28" i="10"/>
  <c r="AD28" i="10"/>
  <c r="Y26" i="16"/>
  <c r="Z26" i="16"/>
  <c r="AA26" i="16"/>
  <c r="AB26" i="16"/>
  <c r="AG29" i="9"/>
  <c r="AI29" i="9"/>
  <c r="N29" i="9"/>
  <c r="AA27" i="15"/>
  <c r="Z25" i="18"/>
  <c r="AB25" i="18"/>
  <c r="Y25" i="18"/>
  <c r="AA25" i="18"/>
  <c r="L28" i="17"/>
  <c r="M28" i="17"/>
  <c r="O28" i="17"/>
  <c r="R28" i="17"/>
  <c r="R26" i="11"/>
  <c r="X26" i="11"/>
  <c r="Y26" i="11"/>
  <c r="Z26" i="11"/>
  <c r="AA26" i="11"/>
  <c r="K12" i="21"/>
  <c r="J12" i="21"/>
  <c r="I12" i="21"/>
  <c r="H12" i="21"/>
  <c r="E12" i="21"/>
  <c r="D12" i="21"/>
  <c r="C12" i="21"/>
  <c r="B12" i="21"/>
  <c r="R76" i="24"/>
  <c r="R96" i="24"/>
  <c r="P96" i="24"/>
  <c r="Q96" i="24" l="1"/>
  <c r="R94" i="24" l="1"/>
  <c r="P94" i="24"/>
  <c r="R93" i="24"/>
  <c r="P93" i="24"/>
  <c r="Q93" i="24" s="1"/>
  <c r="P89" i="24"/>
  <c r="Q94" i="24" l="1"/>
  <c r="R91" i="24"/>
  <c r="P91" i="24"/>
  <c r="R90" i="24"/>
  <c r="P90" i="24"/>
  <c r="R89" i="24"/>
  <c r="R88" i="24"/>
  <c r="P88" i="24"/>
  <c r="Q88" i="24" l="1"/>
  <c r="Q91" i="24"/>
  <c r="Q90" i="24"/>
  <c r="Q89" i="24"/>
  <c r="R86" i="24"/>
  <c r="P86" i="24"/>
  <c r="R85" i="24"/>
  <c r="P85" i="24"/>
  <c r="R84" i="24"/>
  <c r="P84" i="24"/>
  <c r="R83" i="24"/>
  <c r="P83" i="24"/>
  <c r="Q83" i="24" s="1"/>
  <c r="Q86" i="24" l="1"/>
  <c r="Q85" i="24"/>
  <c r="Q84" i="24"/>
  <c r="R81" i="24" l="1"/>
  <c r="P81" i="24"/>
  <c r="R80" i="24"/>
  <c r="P80" i="24"/>
  <c r="R79" i="24"/>
  <c r="P79" i="24"/>
  <c r="R78" i="24"/>
  <c r="P78" i="24"/>
  <c r="P76" i="24"/>
  <c r="Q76" i="24" s="1"/>
  <c r="R75" i="24"/>
  <c r="P75" i="24"/>
  <c r="R74" i="24"/>
  <c r="P74" i="24"/>
  <c r="R73" i="24"/>
  <c r="P73" i="24"/>
  <c r="Q73" i="24" l="1"/>
  <c r="Q75" i="24"/>
  <c r="Q78" i="24"/>
  <c r="Q74" i="24"/>
  <c r="Q81" i="24"/>
  <c r="Q80" i="24"/>
  <c r="Q79" i="24"/>
  <c r="S48" i="4"/>
  <c r="S47" i="4"/>
  <c r="S46" i="4"/>
  <c r="S45" i="4"/>
  <c r="S44" i="4"/>
  <c r="S43" i="4"/>
  <c r="S42" i="4"/>
  <c r="S41" i="4"/>
  <c r="S40" i="4"/>
  <c r="R48" i="4"/>
  <c r="R47" i="4"/>
  <c r="R46" i="4"/>
  <c r="R45" i="4"/>
  <c r="R44" i="4"/>
  <c r="R43" i="4"/>
  <c r="R42" i="4"/>
  <c r="R41" i="4"/>
  <c r="R40" i="4"/>
  <c r="P49" i="4"/>
  <c r="O49" i="4"/>
  <c r="N49" i="4"/>
  <c r="M49" i="4"/>
  <c r="L49" i="4"/>
  <c r="S49" i="4" l="1"/>
  <c r="R49" i="4"/>
  <c r="R71" i="24" l="1"/>
  <c r="P71" i="24"/>
  <c r="R70" i="24"/>
  <c r="P70" i="24"/>
  <c r="R69" i="24"/>
  <c r="P69" i="24"/>
  <c r="R68" i="24"/>
  <c r="P68" i="24"/>
  <c r="R66" i="24"/>
  <c r="P66" i="24"/>
  <c r="R64" i="24"/>
  <c r="P64" i="24"/>
  <c r="R63" i="24"/>
  <c r="P63" i="24"/>
  <c r="Q64" i="24" l="1"/>
  <c r="Q63" i="24"/>
  <c r="Q70" i="24"/>
  <c r="Q71" i="24"/>
  <c r="Q69" i="24"/>
  <c r="Q68" i="24"/>
  <c r="Q66" i="24"/>
  <c r="R61" i="24" l="1"/>
  <c r="P61" i="24"/>
  <c r="R60" i="24"/>
  <c r="P60" i="24"/>
  <c r="R59" i="24"/>
  <c r="P59" i="24"/>
  <c r="R58" i="24"/>
  <c r="P58" i="24"/>
  <c r="P56" i="24"/>
  <c r="R56" i="24"/>
  <c r="R55" i="24"/>
  <c r="P55" i="24"/>
  <c r="R54" i="24"/>
  <c r="P54" i="24"/>
  <c r="R53" i="24"/>
  <c r="P53" i="24"/>
  <c r="Q53" i="24" l="1"/>
  <c r="Q56" i="24"/>
  <c r="Q61" i="24"/>
  <c r="Q60" i="24"/>
  <c r="Q59" i="24"/>
  <c r="Q58" i="24"/>
  <c r="Q55" i="24"/>
  <c r="Q54" i="24"/>
  <c r="R51" i="24" l="1"/>
  <c r="P51" i="24"/>
  <c r="R50" i="24"/>
  <c r="P50" i="24"/>
  <c r="R49" i="24"/>
  <c r="P49" i="24"/>
  <c r="R48" i="24"/>
  <c r="P48" i="24"/>
  <c r="Q48" i="24" l="1"/>
  <c r="Q51" i="24"/>
  <c r="Q50" i="24"/>
  <c r="Q49" i="24"/>
  <c r="L5" i="21"/>
  <c r="F5" i="21"/>
  <c r="R13" i="24" l="1"/>
  <c r="P13" i="24"/>
  <c r="Q13" i="24" l="1"/>
  <c r="R46" i="24"/>
  <c r="P46" i="24"/>
  <c r="R44" i="24"/>
  <c r="P44" i="24"/>
  <c r="R41" i="24"/>
  <c r="P41" i="24"/>
  <c r="R40" i="24"/>
  <c r="P40" i="24"/>
  <c r="R39" i="24"/>
  <c r="P39" i="24"/>
  <c r="R38" i="24"/>
  <c r="P38" i="24"/>
  <c r="R36" i="24"/>
  <c r="P36" i="24"/>
  <c r="R35" i="24"/>
  <c r="P35" i="24"/>
  <c r="R34" i="24"/>
  <c r="P34" i="24"/>
  <c r="R33" i="24"/>
  <c r="P33" i="24"/>
  <c r="R31" i="24"/>
  <c r="P31" i="24"/>
  <c r="R30" i="24"/>
  <c r="P30" i="24"/>
  <c r="R29" i="24"/>
  <c r="P29" i="24"/>
  <c r="R28" i="24"/>
  <c r="P28" i="24"/>
  <c r="R26" i="24"/>
  <c r="P26" i="24"/>
  <c r="R25" i="24"/>
  <c r="P25" i="24"/>
  <c r="R24" i="24"/>
  <c r="P24" i="24"/>
  <c r="R23" i="24"/>
  <c r="P23" i="24"/>
  <c r="R21" i="24"/>
  <c r="P21" i="24"/>
  <c r="R20" i="24"/>
  <c r="P20" i="24"/>
  <c r="R19" i="24"/>
  <c r="P19" i="24"/>
  <c r="R18" i="24"/>
  <c r="P18" i="24"/>
  <c r="R16" i="24"/>
  <c r="P16" i="24"/>
  <c r="R15" i="24"/>
  <c r="P15" i="24"/>
  <c r="R14" i="24"/>
  <c r="P14" i="24"/>
  <c r="R11" i="24"/>
  <c r="P11" i="24"/>
  <c r="R10" i="24"/>
  <c r="P10" i="24"/>
  <c r="R9" i="24"/>
  <c r="P9" i="24"/>
  <c r="R8" i="24"/>
  <c r="P8" i="24"/>
  <c r="R6" i="24"/>
  <c r="P6" i="24"/>
  <c r="R5" i="24"/>
  <c r="P5" i="24"/>
  <c r="R4" i="24"/>
  <c r="P4" i="24"/>
  <c r="R3" i="24"/>
  <c r="P3" i="24"/>
  <c r="R43" i="24"/>
  <c r="P43" i="24"/>
  <c r="Q40" i="24" l="1"/>
  <c r="Q30" i="24"/>
  <c r="Q28" i="24"/>
  <c r="Q15" i="24"/>
  <c r="Q9" i="24"/>
  <c r="Q8" i="24"/>
  <c r="Q5" i="24"/>
  <c r="Q4" i="24"/>
  <c r="Q3" i="24"/>
  <c r="Q29" i="24"/>
  <c r="Q26" i="24"/>
  <c r="Q43" i="24"/>
  <c r="Q6" i="24"/>
  <c r="Q20" i="24"/>
  <c r="Q33" i="24"/>
  <c r="Q41" i="24"/>
  <c r="Q39" i="24"/>
  <c r="Q38" i="24"/>
  <c r="Q36" i="24"/>
  <c r="Q35" i="24"/>
  <c r="Q34" i="24"/>
  <c r="Q31" i="24"/>
  <c r="Q25" i="24"/>
  <c r="Q24" i="24"/>
  <c r="Q23" i="24"/>
  <c r="Q21" i="24"/>
  <c r="Q19" i="24"/>
  <c r="Q18" i="24"/>
  <c r="Q16" i="24"/>
  <c r="Q14" i="24"/>
  <c r="Q11" i="24"/>
  <c r="Q10" i="24"/>
  <c r="Q46" i="24"/>
  <c r="Q44" i="24"/>
  <c r="I16" i="20"/>
  <c r="F16" i="20"/>
  <c r="I14" i="20"/>
  <c r="F14" i="20"/>
  <c r="I4" i="20"/>
  <c r="F4" i="20"/>
  <c r="I10" i="20"/>
  <c r="F10" i="20"/>
  <c r="I15" i="20"/>
  <c r="F15" i="20"/>
  <c r="E5" i="20" l="1"/>
  <c r="AP5" i="10" s="1"/>
  <c r="L10" i="21" l="1"/>
  <c r="F10" i="21"/>
  <c r="AG26" i="4"/>
  <c r="AG13" i="4"/>
  <c r="AB25" i="4"/>
  <c r="AI25" i="4" s="1"/>
  <c r="AB24" i="4"/>
  <c r="AI24" i="4" s="1"/>
  <c r="AB23" i="4"/>
  <c r="AI23" i="4" s="1"/>
  <c r="AB22" i="4"/>
  <c r="AI22" i="4" s="1"/>
  <c r="AB21" i="4"/>
  <c r="AI21" i="4" s="1"/>
  <c r="AB20" i="4"/>
  <c r="AI20" i="4" s="1"/>
  <c r="AB19" i="4"/>
  <c r="AI19" i="4" s="1"/>
  <c r="AB18" i="4"/>
  <c r="AI18" i="4" s="1"/>
  <c r="AB17" i="4"/>
  <c r="AI17" i="4" s="1"/>
  <c r="AB12" i="4"/>
  <c r="AI12" i="4" s="1"/>
  <c r="AB11" i="4"/>
  <c r="AI11" i="4" s="1"/>
  <c r="AB10" i="4"/>
  <c r="AI10" i="4" s="1"/>
  <c r="AB9" i="4"/>
  <c r="AI9" i="4" s="1"/>
  <c r="AB8" i="4"/>
  <c r="AI8" i="4" s="1"/>
  <c r="AB7" i="4"/>
  <c r="AI7" i="4" s="1"/>
  <c r="AB6" i="4"/>
  <c r="AI6" i="4" s="1"/>
  <c r="AB5" i="4"/>
  <c r="AI5" i="4" s="1"/>
  <c r="AB4" i="4"/>
  <c r="AI4" i="4" s="1"/>
  <c r="K49" i="4" l="1"/>
  <c r="Q48" i="4" l="1"/>
  <c r="Q47" i="4"/>
  <c r="Q46" i="4"/>
  <c r="Q45" i="4"/>
  <c r="Q44" i="4"/>
  <c r="Q43" i="4"/>
  <c r="Q42" i="4"/>
  <c r="Q41" i="4"/>
  <c r="Q40" i="4"/>
  <c r="O35" i="4"/>
  <c r="O34" i="4"/>
  <c r="O33" i="4"/>
  <c r="O32" i="4"/>
  <c r="O31" i="4"/>
  <c r="O30" i="4"/>
  <c r="O29" i="4"/>
  <c r="O28" i="4"/>
  <c r="O27" i="4"/>
  <c r="AH25" i="4"/>
  <c r="AH24" i="4"/>
  <c r="AH23" i="4"/>
  <c r="T23" i="4"/>
  <c r="O23" i="4"/>
  <c r="AH22" i="4"/>
  <c r="T22" i="4"/>
  <c r="O22" i="4"/>
  <c r="AH21" i="4"/>
  <c r="T21" i="4"/>
  <c r="O21" i="4"/>
  <c r="AH20" i="4"/>
  <c r="T20" i="4"/>
  <c r="O20" i="4"/>
  <c r="AH19" i="4"/>
  <c r="T19" i="4"/>
  <c r="O19" i="4"/>
  <c r="AH18" i="4"/>
  <c r="T18" i="4"/>
  <c r="O18" i="4"/>
  <c r="AH17" i="4"/>
  <c r="T17" i="4"/>
  <c r="O17" i="4"/>
  <c r="T16" i="4"/>
  <c r="O16" i="4"/>
  <c r="T15" i="4"/>
  <c r="O15" i="4"/>
  <c r="AH12" i="4"/>
  <c r="AH11" i="4"/>
  <c r="T11" i="4"/>
  <c r="O11" i="4"/>
  <c r="AH10" i="4"/>
  <c r="T10" i="4"/>
  <c r="O10" i="4"/>
  <c r="AH9" i="4"/>
  <c r="T9" i="4"/>
  <c r="O9" i="4"/>
  <c r="AH8" i="4"/>
  <c r="T8" i="4"/>
  <c r="O8" i="4"/>
  <c r="AH7" i="4"/>
  <c r="T7" i="4"/>
  <c r="O7" i="4"/>
  <c r="AH6" i="4"/>
  <c r="T6" i="4"/>
  <c r="O6" i="4"/>
  <c r="AH5" i="4"/>
  <c r="T5" i="4"/>
  <c r="O5" i="4"/>
  <c r="AH4" i="4"/>
  <c r="T4" i="4"/>
  <c r="O4" i="4"/>
  <c r="T3" i="4"/>
  <c r="O3" i="4"/>
  <c r="Q49" i="4" l="1"/>
  <c r="U19" i="4"/>
  <c r="U5" i="4"/>
  <c r="U15" i="4"/>
  <c r="U23" i="4"/>
  <c r="U18" i="4"/>
  <c r="U7" i="4"/>
  <c r="U21" i="4"/>
  <c r="U8" i="4"/>
  <c r="U3" i="4"/>
  <c r="U4" i="4"/>
  <c r="U9" i="4"/>
  <c r="U17" i="4"/>
  <c r="U22" i="4"/>
  <c r="U20" i="4"/>
  <c r="U16" i="4"/>
  <c r="U6" i="4"/>
  <c r="AI13" i="4"/>
  <c r="AI26" i="4"/>
  <c r="U10" i="4"/>
  <c r="U11" i="4"/>
  <c r="U24" i="4" l="1"/>
  <c r="U12" i="4"/>
  <c r="H23" i="25" l="1"/>
  <c r="G23" i="25"/>
  <c r="F23" i="25"/>
  <c r="E23" i="25"/>
  <c r="D23" i="25"/>
  <c r="C23" i="25"/>
  <c r="B23" i="25"/>
  <c r="L8" i="21"/>
  <c r="L7" i="21"/>
  <c r="L6" i="21"/>
  <c r="F8" i="21"/>
  <c r="F7" i="21"/>
  <c r="F6" i="21"/>
  <c r="L4" i="21"/>
  <c r="F4" i="21"/>
  <c r="D37" i="22" l="1"/>
  <c r="B37" i="22"/>
  <c r="L3" i="21" l="1"/>
  <c r="F3" i="21"/>
  <c r="H9" i="4" l="1"/>
  <c r="L9" i="21" l="1"/>
  <c r="F9" i="21"/>
  <c r="N26" i="22"/>
  <c r="M26" i="22"/>
  <c r="L26" i="22"/>
  <c r="K26" i="22"/>
  <c r="J26" i="22"/>
  <c r="I26" i="22"/>
  <c r="O25" i="22"/>
  <c r="O24" i="22"/>
  <c r="O23" i="22"/>
  <c r="O22" i="22"/>
  <c r="O21" i="22"/>
  <c r="O20" i="22"/>
  <c r="P20" i="22" s="1"/>
  <c r="O19" i="22"/>
  <c r="O18" i="22"/>
  <c r="Q18" i="22" s="1"/>
  <c r="O17" i="22"/>
  <c r="N12" i="22"/>
  <c r="M12" i="22"/>
  <c r="L12" i="22"/>
  <c r="K12" i="22"/>
  <c r="J12" i="22"/>
  <c r="I12" i="22"/>
  <c r="O11" i="22"/>
  <c r="P11" i="22" s="1"/>
  <c r="O10" i="22"/>
  <c r="O9" i="22"/>
  <c r="Q9" i="22" s="1"/>
  <c r="O8" i="22"/>
  <c r="Q8" i="22" s="1"/>
  <c r="O7" i="22"/>
  <c r="Q7" i="22" s="1"/>
  <c r="O6" i="22"/>
  <c r="O5" i="22"/>
  <c r="O4" i="22"/>
  <c r="O3" i="22"/>
  <c r="Q22" i="22" l="1"/>
  <c r="P22" i="22"/>
  <c r="Q6" i="22"/>
  <c r="P6" i="22"/>
  <c r="Q17" i="22"/>
  <c r="P17" i="22"/>
  <c r="Q3" i="22"/>
  <c r="P3" i="22"/>
  <c r="Q10" i="22"/>
  <c r="P10" i="22"/>
  <c r="Q24" i="22"/>
  <c r="P24" i="22"/>
  <c r="Q4" i="22"/>
  <c r="P4" i="22"/>
  <c r="P5" i="22"/>
  <c r="Q5" i="22"/>
  <c r="Q19" i="22"/>
  <c r="P19" i="22"/>
  <c r="Q25" i="22"/>
  <c r="P25" i="22"/>
  <c r="Q21" i="22"/>
  <c r="P21" i="22"/>
  <c r="Q23" i="22"/>
  <c r="P23" i="22"/>
  <c r="O26" i="22"/>
  <c r="P26" i="22" s="1"/>
  <c r="F12" i="21"/>
  <c r="L12" i="21"/>
  <c r="Q11" i="22"/>
  <c r="O12" i="22"/>
  <c r="P7" i="22"/>
  <c r="P18" i="22"/>
  <c r="Q20" i="22"/>
  <c r="P9" i="22"/>
  <c r="P8" i="22"/>
  <c r="Q26" i="22" l="1"/>
  <c r="Q12" i="22"/>
  <c r="P12" i="22"/>
  <c r="G5" i="6" l="1"/>
  <c r="F6" i="4"/>
  <c r="H5" i="6"/>
  <c r="G9" i="20"/>
  <c r="AP7" i="19" s="1"/>
  <c r="G10" i="6"/>
  <c r="F10" i="6"/>
  <c r="E10" i="6"/>
  <c r="G8" i="20"/>
  <c r="D10" i="22"/>
  <c r="B10" i="22"/>
  <c r="G7" i="6"/>
  <c r="F7" i="6"/>
  <c r="E7" i="6"/>
  <c r="I7" i="6"/>
  <c r="H7" i="6"/>
  <c r="F6" i="6"/>
  <c r="E6" i="6"/>
  <c r="D6" i="6"/>
  <c r="F8" i="4"/>
  <c r="H8" i="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E3" i="20" s="1"/>
  <c r="AP5" i="14" s="1"/>
  <c r="Y29" i="14"/>
  <c r="X29" i="14"/>
  <c r="B3" i="20" s="1"/>
  <c r="R29" i="14"/>
  <c r="Q29" i="14"/>
  <c r="P29" i="14"/>
  <c r="O29" i="14"/>
  <c r="N29" i="14"/>
  <c r="M29" i="14"/>
  <c r="L29" i="14"/>
  <c r="K29" i="14"/>
  <c r="J29" i="14"/>
  <c r="I29" i="14"/>
  <c r="H29" i="14"/>
  <c r="G29" i="14"/>
  <c r="D13" i="20" l="1"/>
  <c r="AP6" i="16" s="1"/>
  <c r="H11" i="20"/>
  <c r="AP8" i="15" s="1"/>
  <c r="H9" i="20"/>
  <c r="AP8" i="19" s="1"/>
  <c r="H8" i="20"/>
  <c r="AP8" i="18" s="1"/>
  <c r="D3" i="20"/>
  <c r="AP6" i="14" s="1"/>
  <c r="C3" i="20"/>
  <c r="AP4" i="14" s="1"/>
  <c r="H3" i="20"/>
  <c r="AP8" i="14" s="1"/>
  <c r="AP7" i="18"/>
  <c r="AP3" i="14"/>
  <c r="B11" i="20"/>
  <c r="G13" i="20"/>
  <c r="F10" i="4"/>
  <c r="B6" i="4"/>
  <c r="F10" i="22"/>
  <c r="G11" i="20"/>
  <c r="B7" i="4"/>
  <c r="D7" i="6"/>
  <c r="B11" i="22"/>
  <c r="B11" i="4"/>
  <c r="D9" i="4"/>
  <c r="K10" i="6"/>
  <c r="L10" i="6" s="1"/>
  <c r="D11" i="4"/>
  <c r="D6" i="4"/>
  <c r="I10" i="6"/>
  <c r="H6" i="6"/>
  <c r="B8" i="20"/>
  <c r="D10" i="6"/>
  <c r="B9" i="20"/>
  <c r="AP3" i="19" s="1"/>
  <c r="I6" i="6"/>
  <c r="F11" i="4"/>
  <c r="H11" i="4"/>
  <c r="D11" i="22"/>
  <c r="H10" i="6"/>
  <c r="K7" i="6"/>
  <c r="K6" i="6"/>
  <c r="D8" i="22"/>
  <c r="B8" i="22"/>
  <c r="G6" i="6"/>
  <c r="B13" i="20"/>
  <c r="B9" i="22"/>
  <c r="D9" i="22"/>
  <c r="I5" i="6"/>
  <c r="K5" i="6"/>
  <c r="H7" i="4"/>
  <c r="B9" i="4"/>
  <c r="D5" i="6"/>
  <c r="D8" i="4"/>
  <c r="E11" i="20"/>
  <c r="AP5" i="15" s="1"/>
  <c r="E5" i="6"/>
  <c r="F5" i="6"/>
  <c r="E9" i="20"/>
  <c r="AP5" i="19" s="1"/>
  <c r="E8" i="20"/>
  <c r="AP5" i="18" s="1"/>
  <c r="C7" i="20"/>
  <c r="G7" i="20"/>
  <c r="E7" i="20"/>
  <c r="AP5" i="17" s="1"/>
  <c r="E13" i="20"/>
  <c r="AP5" i="16" s="1"/>
  <c r="I97" i="24"/>
  <c r="E97" i="24"/>
  <c r="R97" i="24"/>
  <c r="I9" i="20" l="1"/>
  <c r="F3" i="20"/>
  <c r="I8" i="20"/>
  <c r="C13" i="20"/>
  <c r="AP4" i="16" s="1"/>
  <c r="H13" i="20"/>
  <c r="AP8" i="16" s="1"/>
  <c r="D11" i="20"/>
  <c r="AP6" i="15" s="1"/>
  <c r="C11" i="20"/>
  <c r="AP4" i="15" s="1"/>
  <c r="D9" i="20"/>
  <c r="AP6" i="19" s="1"/>
  <c r="C9" i="20"/>
  <c r="AP4" i="19" s="1"/>
  <c r="C8" i="20"/>
  <c r="AP4" i="18" s="1"/>
  <c r="D8" i="20"/>
  <c r="AP6" i="18" s="1"/>
  <c r="D7" i="20"/>
  <c r="AP6" i="17" s="1"/>
  <c r="H7" i="20"/>
  <c r="AP8" i="17" s="1"/>
  <c r="B7" i="20"/>
  <c r="AP3" i="17" s="1"/>
  <c r="AP3" i="18"/>
  <c r="AP7" i="15"/>
  <c r="I11" i="20"/>
  <c r="AP7" i="17"/>
  <c r="AP4" i="17"/>
  <c r="AP3" i="16"/>
  <c r="AP7" i="16"/>
  <c r="AP3" i="15"/>
  <c r="L5" i="6"/>
  <c r="F11" i="22"/>
  <c r="J10" i="6"/>
  <c r="F8" i="22"/>
  <c r="F3" i="22"/>
  <c r="F9" i="22"/>
  <c r="I98" i="24"/>
  <c r="J23" i="25" s="1"/>
  <c r="B5" i="20"/>
  <c r="E9" i="6"/>
  <c r="D9" i="6"/>
  <c r="E2" i="6"/>
  <c r="H3" i="6"/>
  <c r="L7" i="6"/>
  <c r="L6" i="6"/>
  <c r="L8" i="6"/>
  <c r="J7" i="6"/>
  <c r="J6" i="6"/>
  <c r="J8" i="6"/>
  <c r="J5" i="6"/>
  <c r="I2" i="6"/>
  <c r="H2" i="6"/>
  <c r="I3" i="6"/>
  <c r="H4" i="6"/>
  <c r="I9" i="6"/>
  <c r="H9" i="6"/>
  <c r="F13" i="20" l="1"/>
  <c r="F7" i="20"/>
  <c r="F9" i="20"/>
  <c r="I13" i="20"/>
  <c r="I7" i="20"/>
  <c r="F11" i="20"/>
  <c r="F8" i="20"/>
  <c r="C12" i="20"/>
  <c r="AP4" i="9" s="1"/>
  <c r="AP3" i="10"/>
  <c r="B6" i="20"/>
  <c r="K2" i="6"/>
  <c r="D5" i="4"/>
  <c r="D2" i="6"/>
  <c r="B12" i="20"/>
  <c r="F5" i="4"/>
  <c r="B4" i="22"/>
  <c r="E12" i="20"/>
  <c r="AP5" i="9" s="1"/>
  <c r="G3" i="6"/>
  <c r="B5" i="4"/>
  <c r="D4" i="22"/>
  <c r="D4" i="6"/>
  <c r="D3" i="6"/>
  <c r="K3" i="6"/>
  <c r="G12" i="20"/>
  <c r="E4" i="6"/>
  <c r="G5" i="20"/>
  <c r="K4" i="6"/>
  <c r="I4" i="6"/>
  <c r="B6" i="22"/>
  <c r="G6" i="20"/>
  <c r="B4" i="4"/>
  <c r="F4" i="4"/>
  <c r="B5" i="22"/>
  <c r="D5" i="22"/>
  <c r="E6" i="20"/>
  <c r="AP5" i="11" s="1"/>
  <c r="D12" i="20" l="1"/>
  <c r="AP6" i="9" s="1"/>
  <c r="AP8" i="9"/>
  <c r="C6" i="20"/>
  <c r="AP4" i="11" s="1"/>
  <c r="H6" i="20"/>
  <c r="AP8" i="11" s="1"/>
  <c r="D6" i="20"/>
  <c r="AP6" i="11" s="1"/>
  <c r="H5" i="20"/>
  <c r="AP8" i="10" s="1"/>
  <c r="C5" i="20"/>
  <c r="D5" i="20"/>
  <c r="AP6" i="10" s="1"/>
  <c r="AP7" i="9"/>
  <c r="I12" i="20"/>
  <c r="AP3" i="9"/>
  <c r="F12" i="20"/>
  <c r="B17" i="20"/>
  <c r="AP3" i="11"/>
  <c r="AP7" i="11"/>
  <c r="AP7" i="10"/>
  <c r="F5" i="22"/>
  <c r="F4" i="22"/>
  <c r="D6" i="22"/>
  <c r="B3" i="4"/>
  <c r="D4" i="4"/>
  <c r="C17" i="20" l="1"/>
  <c r="I6" i="20"/>
  <c r="F6" i="20"/>
  <c r="I5" i="20"/>
  <c r="F5" i="20"/>
  <c r="AP4" i="10"/>
  <c r="F6" i="22"/>
  <c r="D3" i="4"/>
  <c r="H3" i="4" l="1"/>
  <c r="E3" i="6" l="1"/>
  <c r="G2" i="6"/>
  <c r="F2" i="6"/>
  <c r="G4" i="6"/>
  <c r="H5" i="4"/>
  <c r="D17" i="20"/>
  <c r="F3" i="4"/>
  <c r="F9" i="6"/>
  <c r="F4" i="6"/>
  <c r="D7" i="22" l="1"/>
  <c r="D12" i="22" s="1"/>
  <c r="K23" i="25" s="1"/>
  <c r="B7" i="22"/>
  <c r="B10" i="4"/>
  <c r="B12" i="4" s="1"/>
  <c r="I23" i="25" s="1"/>
  <c r="F7" i="4"/>
  <c r="F12" i="4" s="1"/>
  <c r="E17" i="20"/>
  <c r="F3" i="6"/>
  <c r="H6" i="4"/>
  <c r="D10" i="4"/>
  <c r="D12" i="4" s="1"/>
  <c r="J9" i="6"/>
  <c r="F29" i="14"/>
  <c r="G3" i="20" s="1"/>
  <c r="J2" i="6"/>
  <c r="H4" i="4"/>
  <c r="J4" i="6"/>
  <c r="J3" i="6"/>
  <c r="K9" i="6"/>
  <c r="G9" i="6"/>
  <c r="AP7" i="14" l="1"/>
  <c r="I3" i="20"/>
  <c r="F7" i="22"/>
  <c r="B12" i="22"/>
  <c r="L23" i="25" s="1"/>
  <c r="H12" i="4"/>
  <c r="H17" i="20"/>
  <c r="L3" i="6"/>
  <c r="L2" i="6"/>
  <c r="L4" i="6"/>
  <c r="D11" i="6"/>
  <c r="F11" i="6"/>
  <c r="I11" i="6"/>
  <c r="E11" i="6"/>
  <c r="H11" i="6"/>
  <c r="G11" i="6"/>
  <c r="K11" i="6"/>
  <c r="L9" i="6"/>
  <c r="G17" i="20" l="1"/>
  <c r="I17" i="20" s="1"/>
  <c r="J11" i="6"/>
  <c r="L11" i="6"/>
</calcChain>
</file>

<file path=xl/sharedStrings.xml><?xml version="1.0" encoding="utf-8"?>
<sst xmlns="http://schemas.openxmlformats.org/spreadsheetml/2006/main" count="4763" uniqueCount="677">
  <si>
    <t>Harlequins</t>
  </si>
  <si>
    <t>Saracens</t>
  </si>
  <si>
    <t>Worcester</t>
  </si>
  <si>
    <t>Sale</t>
  </si>
  <si>
    <t>Exeter</t>
  </si>
  <si>
    <t>Pos</t>
  </si>
  <si>
    <t>Chg</t>
  </si>
  <si>
    <t>PL</t>
  </si>
  <si>
    <t>W</t>
  </si>
  <si>
    <t>D</t>
  </si>
  <si>
    <t>L</t>
  </si>
  <si>
    <t>F</t>
  </si>
  <si>
    <t>A</t>
  </si>
  <si>
    <t>BP</t>
  </si>
  <si>
    <t>PTS</t>
  </si>
  <si>
    <t>→</t>
  </si>
  <si>
    <t>Scores</t>
  </si>
  <si>
    <t>Cards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</si>
  <si>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</si>
  <si>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</si>
  <si>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</si>
  <si>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</si>
  <si>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</si>
  <si>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</si>
  <si>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</si>
  <si>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</si>
  <si>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</si>
  <si>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</si>
  <si>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</si>
  <si>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 TOTALS</t>
  </si>
  <si>
    <t>OVERALL</t>
  </si>
  <si>
    <t xml:space="preserve">HOME </t>
  </si>
  <si>
    <t>AWAY</t>
  </si>
  <si>
    <t>TB</t>
  </si>
  <si>
    <t>LB</t>
  </si>
  <si>
    <t>Bonus</t>
  </si>
  <si>
    <t>Result</t>
  </si>
  <si>
    <t>Gd</t>
  </si>
  <si>
    <t>Conceded</t>
  </si>
  <si>
    <t>Tries Scored</t>
  </si>
  <si>
    <t>Try Bonus Points</t>
  </si>
  <si>
    <t>Tries Conceded</t>
  </si>
  <si>
    <t>na</t>
  </si>
  <si>
    <t xml:space="preserve"> </t>
  </si>
  <si>
    <t>AR1</t>
  </si>
  <si>
    <t>AR2</t>
  </si>
  <si>
    <t>Wasps</t>
  </si>
  <si>
    <t>© Hillsport Media Ltd</t>
  </si>
  <si>
    <t>NEUTRAL</t>
  </si>
  <si>
    <t>Bristol</t>
  </si>
  <si>
    <t>n/a</t>
  </si>
  <si>
    <t>PD</t>
  </si>
  <si>
    <t xml:space="preserve">Exeter </t>
  </si>
  <si>
    <t xml:space="preserve">Bristol </t>
  </si>
  <si>
    <t>5. With Round 1 excluded, the club that has won the most matches</t>
  </si>
  <si>
    <t>6. With Rounds 1 &amp; 2 excluded, the club that has won the most matches</t>
  </si>
  <si>
    <t>7. With Rounds 1, 2 &amp; 3 excluded, the club that has won the most matches, etc</t>
  </si>
  <si>
    <t>If teams are level on League points, tie-breakers are used in the following order:</t>
  </si>
  <si>
    <t>2. Points Difference</t>
  </si>
  <si>
    <t>1. Matches Won</t>
  </si>
  <si>
    <t>3. Match Points Scored ("F")</t>
  </si>
  <si>
    <t>4. Match Points Scored ("F") in Head to Head matches between the clubs</t>
  </si>
  <si>
    <t xml:space="preserve">Sale </t>
  </si>
  <si>
    <t>Gloucester-H</t>
  </si>
  <si>
    <t>Played</t>
  </si>
  <si>
    <t>Won</t>
  </si>
  <si>
    <t>Lost</t>
  </si>
  <si>
    <t>Pts For</t>
  </si>
  <si>
    <t>Pts Aga</t>
  </si>
  <si>
    <t>Diff</t>
  </si>
  <si>
    <t>Leicester</t>
  </si>
  <si>
    <t>Richmond</t>
  </si>
  <si>
    <t>TOTALS</t>
  </si>
  <si>
    <t>PWR</t>
  </si>
  <si>
    <t>PWR (REG)</t>
  </si>
  <si>
    <t>PWR (PO)</t>
  </si>
  <si>
    <t>PWR (TOT)</t>
  </si>
  <si>
    <t>Half-by-half Points</t>
  </si>
  <si>
    <t>Round</t>
  </si>
  <si>
    <t>KO</t>
  </si>
  <si>
    <t>L Pts</t>
  </si>
  <si>
    <t>Venue</t>
  </si>
  <si>
    <t>1st H</t>
  </si>
  <si>
    <t>2nd H</t>
  </si>
  <si>
    <t>Total Pts</t>
  </si>
  <si>
    <t>S-Finals</t>
  </si>
  <si>
    <t>Final</t>
  </si>
  <si>
    <t>Total</t>
  </si>
  <si>
    <t>Saturday</t>
  </si>
  <si>
    <t>:</t>
  </si>
  <si>
    <r>
      <t>ROUND</t>
    </r>
    <r>
      <rPr>
        <b/>
        <sz val="11"/>
        <color theme="1"/>
        <rFont val="Calibri"/>
        <family val="2"/>
      </rPr>
      <t>→</t>
    </r>
  </si>
  <si>
    <t>Pts</t>
  </si>
  <si>
    <t>Res</t>
  </si>
  <si>
    <t>w</t>
  </si>
  <si>
    <t>llb</t>
  </si>
  <si>
    <t>wtb</t>
  </si>
  <si>
    <t>l</t>
  </si>
  <si>
    <t>ltb</t>
  </si>
  <si>
    <t>2023/24</t>
  </si>
  <si>
    <t xml:space="preserve">RD-BY RD </t>
  </si>
  <si>
    <t>Trailfinders</t>
  </si>
  <si>
    <t>Points Scored</t>
  </si>
  <si>
    <t>Minutes S/handed</t>
  </si>
  <si>
    <t>Ave per 10 mins</t>
  </si>
  <si>
    <t>Yellows</t>
  </si>
  <si>
    <t>Reds</t>
  </si>
  <si>
    <t>Totals</t>
  </si>
  <si>
    <t>Clubs ordered on unofficial “points” ratio of “2” for a Red, “1” for a Yellow</t>
  </si>
  <si>
    <r>
      <t>POWERPLAYS (</t>
    </r>
    <r>
      <rPr>
        <b/>
        <sz val="11"/>
        <color rgb="FFFF0000"/>
        <rFont val="Calibri"/>
        <family val="2"/>
        <scheme val="minor"/>
      </rPr>
      <t xml:space="preserve">periods when teams are playing against short-handed opposition </t>
    </r>
    <r>
      <rPr>
        <b/>
        <u/>
        <sz val="11"/>
        <color rgb="FFFF0000"/>
        <rFont val="Calibri"/>
        <family val="2"/>
        <scheme val="minor"/>
      </rPr>
      <t>only</t>
    </r>
    <r>
      <rPr>
        <b/>
        <sz val="11"/>
        <color theme="1"/>
        <rFont val="Calibri"/>
        <family val="2"/>
        <scheme val="minor"/>
      </rPr>
      <t>)</t>
    </r>
  </si>
  <si>
    <t>15 v 14</t>
  </si>
  <si>
    <t>15 v 13</t>
  </si>
  <si>
    <t>14 v 13</t>
  </si>
  <si>
    <t>14 v 12</t>
  </si>
  <si>
    <t>Rd-by-Rd</t>
  </si>
  <si>
    <t>YC</t>
  </si>
  <si>
    <t>RC</t>
  </si>
  <si>
    <t>Round 1</t>
  </si>
  <si>
    <t>HOME TEAMS</t>
  </si>
  <si>
    <t>AWAY TEAMS</t>
  </si>
  <si>
    <t>2017/18</t>
  </si>
  <si>
    <t>2018/19</t>
  </si>
  <si>
    <t>2019/20</t>
  </si>
  <si>
    <t>2020/21</t>
  </si>
  <si>
    <t>2021/22</t>
  </si>
  <si>
    <t>2022/23</t>
  </si>
  <si>
    <t>DMP Sharks</t>
  </si>
  <si>
    <t>Sunday</t>
  </si>
  <si>
    <t>TBC</t>
  </si>
  <si>
    <t>SF</t>
  </si>
  <si>
    <t>FINAL</t>
  </si>
  <si>
    <t>ROUND</t>
  </si>
  <si>
    <t>HOME WINS</t>
  </si>
  <si>
    <t>AWAY WINS</t>
  </si>
  <si>
    <t>DRAWS</t>
  </si>
  <si>
    <t>TRIES</t>
  </si>
  <si>
    <t>POINTS</t>
  </si>
  <si>
    <t>RED</t>
  </si>
  <si>
    <t>YELLOW</t>
  </si>
  <si>
    <t>SEASON TRIES</t>
  </si>
  <si>
    <t>SEASON</t>
  </si>
  <si>
    <t>SEASON RC</t>
  </si>
  <si>
    <t>CARDS</t>
  </si>
  <si>
    <t>S-FINAL</t>
  </si>
  <si>
    <t>TRIES SCORED (INCLUDING PENALTY TRIES)</t>
  </si>
  <si>
    <t>BONUS POINTS EARNED</t>
  </si>
  <si>
    <t>TRY</t>
  </si>
  <si>
    <t>TRIES CONCEDED (INCLUDING PENALTY TRIES)</t>
  </si>
  <si>
    <t>BONUS POINTS CONCEDED</t>
  </si>
  <si>
    <t>Tot</t>
  </si>
  <si>
    <t>HOME AND AWAY SCORING</t>
  </si>
  <si>
    <t>HOME</t>
  </si>
  <si>
    <t>2025 CALENDAR YEAR TABLE</t>
  </si>
  <si>
    <t>Oct</t>
  </si>
  <si>
    <t>H</t>
  </si>
  <si>
    <t>H*</t>
  </si>
  <si>
    <t>A*</t>
  </si>
  <si>
    <t>Oc 26</t>
  </si>
  <si>
    <t>Nv 2</t>
  </si>
  <si>
    <t>Nv 9</t>
  </si>
  <si>
    <t>Nv 30</t>
  </si>
  <si>
    <t>Dc 7</t>
  </si>
  <si>
    <t>Dc 14</t>
  </si>
  <si>
    <t>Dc 21</t>
  </si>
  <si>
    <t>Dc 6</t>
  </si>
  <si>
    <t>A^</t>
  </si>
  <si>
    <t>LOSING BP LOST IN FINAL 10 MINS</t>
  </si>
  <si>
    <t>FASTEST TRIES (0-5 MINS)</t>
  </si>
  <si>
    <t>Nv 1</t>
  </si>
  <si>
    <t>0-10</t>
  </si>
  <si>
    <t>41-50</t>
  </si>
  <si>
    <t>51-60</t>
  </si>
  <si>
    <t>61-70</t>
  </si>
  <si>
    <t>71-80</t>
  </si>
  <si>
    <t>LOSING FROM WINNING POSITION IN 2nd HALF (LATEST TIME ONLY)</t>
  </si>
  <si>
    <t>11-20</t>
  </si>
  <si>
    <t>21-30</t>
  </si>
  <si>
    <t>LOSE</t>
  </si>
  <si>
    <t>TBs</t>
  </si>
  <si>
    <t>BRI</t>
  </si>
  <si>
    <t>EXE</t>
  </si>
  <si>
    <t>GLO</t>
  </si>
  <si>
    <t>HAR</t>
  </si>
  <si>
    <t>LEI</t>
  </si>
  <si>
    <t>LOU</t>
  </si>
  <si>
    <t>SAL</t>
  </si>
  <si>
    <t>SAR</t>
  </si>
  <si>
    <t>TFW</t>
  </si>
  <si>
    <t>Friday</t>
  </si>
  <si>
    <t>Also Excludes 4 cancelled matches - Har v Sar Feb 20 2021 (0-0, Sar win), Wor v Was (0-0, Was win) Jan 16 2022, Glo v Was (0-0, Glo win) Feb 18 2023 &amp; Lou v Wor (0-0, Wor win) May 27 2023</t>
  </si>
  <si>
    <t>Success Rate</t>
  </si>
  <si>
    <t>Waterloo</t>
  </si>
  <si>
    <t>2019/20 season was cancelled after 12 rounds due to the Covid pandemic</t>
  </si>
  <si>
    <t>Drawn</t>
  </si>
  <si>
    <t>Pts Scored</t>
  </si>
  <si>
    <t>Pts Conceded</t>
  </si>
  <si>
    <t>BRISTOL</t>
  </si>
  <si>
    <t>TRAILFINDERS</t>
  </si>
  <si>
    <t>PWR HISTORY</t>
  </si>
  <si>
    <t>SARACENS</t>
  </si>
  <si>
    <t>EXETER</t>
  </si>
  <si>
    <t>GLOUCESTER-HARTPURY</t>
  </si>
  <si>
    <t>HARLEQUINS</t>
  </si>
  <si>
    <t>LEICESTER</t>
  </si>
  <si>
    <t>SALE</t>
  </si>
  <si>
    <t>ltblb</t>
  </si>
  <si>
    <t>LGE</t>
  </si>
  <si>
    <t xml:space="preserve">LGE = League Points </t>
  </si>
  <si>
    <t>TOT</t>
  </si>
  <si>
    <t>Re-arranged</t>
  </si>
  <si>
    <t>Success %</t>
  </si>
  <si>
    <t>PREMIERSHIP WOMEN'S RUGBY 2017/18-2025/26</t>
  </si>
  <si>
    <t>2025/26</t>
  </si>
  <si>
    <t xml:space="preserve">First to 150 Points: </t>
  </si>
  <si>
    <t xml:space="preserve">First to 15 tries: </t>
  </si>
  <si>
    <t>12+ Points scored in any 10-minute Powerplay period:</t>
  </si>
  <si>
    <t>0 Points scored in any 10-minute Powerplay period</t>
  </si>
  <si>
    <t>10+ Points scored with fewer than 15 players:</t>
  </si>
  <si>
    <t>PWR 2025/26</t>
  </si>
  <si>
    <t>TRY TIMES</t>
  </si>
  <si>
    <t>Q1</t>
  </si>
  <si>
    <t>Q2</t>
  </si>
  <si>
    <t>H1</t>
  </si>
  <si>
    <t>Q3</t>
  </si>
  <si>
    <t>Q4</t>
  </si>
  <si>
    <t>H2</t>
  </si>
  <si>
    <t>31-HT</t>
  </si>
  <si>
    <t>71-FT</t>
  </si>
  <si>
    <t>Try Bonus Conc</t>
  </si>
  <si>
    <t>2026 CALENDAR YEAR TABLE</t>
  </si>
  <si>
    <t xml:space="preserve">Penalty Tries:  </t>
  </si>
  <si>
    <t>Excludes the 5 Finals played on Neutral Ground (the 2022/23 final, won by Gloucester-Hartpury, was played at Kingsholm; the 2025/26 was played at Saracens, who were beaten by Gloucester-Hartpury &amp; there was no final in 2019/20)</t>
  </si>
  <si>
    <t>SEASON 2025/26</t>
  </si>
  <si>
    <t>BRISTOL 2025/26</t>
  </si>
  <si>
    <t>EXETER 2025/26</t>
  </si>
  <si>
    <t>GLOUCESTER-HARTPURY 2025/26</t>
  </si>
  <si>
    <t>HARLEQUINS 2025/26</t>
  </si>
  <si>
    <t>LEICESTER 2025/26</t>
  </si>
  <si>
    <t xml:space="preserve">SALE 2025/26 </t>
  </si>
  <si>
    <t>SARACENS 2025/26</t>
  </si>
  <si>
    <t>TRAILFINDERS 2025/26</t>
  </si>
  <si>
    <t>Oc 25</t>
  </si>
  <si>
    <t>Nv 8</t>
  </si>
  <si>
    <t>Nv 15</t>
  </si>
  <si>
    <t>Nv 29</t>
  </si>
  <si>
    <t>Dc 13</t>
  </si>
  <si>
    <t>Dc 20</t>
  </si>
  <si>
    <t>Mr 28</t>
  </si>
  <si>
    <t>FIN</t>
  </si>
  <si>
    <t>Jn 6</t>
  </si>
  <si>
    <t>Jn 13</t>
  </si>
  <si>
    <t>Jn 28</t>
  </si>
  <si>
    <t>H~</t>
  </si>
  <si>
    <t>Nv 16</t>
  </si>
  <si>
    <t>Oc 24</t>
  </si>
  <si>
    <t>*Allianz Stadium, London; ^Principality Stadium, Cardiff</t>
  </si>
  <si>
    <t>Ag 30</t>
  </si>
  <si>
    <t>21-14</t>
  </si>
  <si>
    <t>Sp 6</t>
  </si>
  <si>
    <t>33-7</t>
  </si>
  <si>
    <t>Sp 13</t>
  </si>
  <si>
    <t>CPP</t>
  </si>
  <si>
    <t>15-7</t>
  </si>
  <si>
    <t>Sp 21</t>
  </si>
  <si>
    <t>28-7</t>
  </si>
  <si>
    <t>Oc 5</t>
  </si>
  <si>
    <t>CPS</t>
  </si>
  <si>
    <t>27-5</t>
  </si>
  <si>
    <t>Oc 11</t>
  </si>
  <si>
    <t>CPF</t>
  </si>
  <si>
    <t>19-12</t>
  </si>
  <si>
    <t>Ag 23</t>
  </si>
  <si>
    <t>H#</t>
  </si>
  <si>
    <t>19-24</t>
  </si>
  <si>
    <t>Sp 7</t>
  </si>
  <si>
    <t>19-17</t>
  </si>
  <si>
    <t>A&gt;</t>
  </si>
  <si>
    <t xml:space="preserve">#Fairmile Lane, Cobham; ~Hammerpond Road, Horsham; &gt; 4ED Hartpury Stadium with Vodafone; </t>
  </si>
  <si>
    <t>36-0</t>
  </si>
  <si>
    <t>27-10</t>
  </si>
  <si>
    <t>12-19</t>
  </si>
  <si>
    <t>Penalty Tries: v  Lou (Oc 24)</t>
  </si>
  <si>
    <t>26-28</t>
  </si>
  <si>
    <t>Benjamin Wood</t>
  </si>
  <si>
    <t>James Pidding</t>
  </si>
  <si>
    <t>Mike Woods</t>
  </si>
  <si>
    <t>Mike Hudson</t>
  </si>
  <si>
    <t>Simon Adams</t>
  </si>
  <si>
    <t>Emily Hope</t>
  </si>
  <si>
    <t>Melanie Sutton</t>
  </si>
  <si>
    <t>Nikki O'Donnell</t>
  </si>
  <si>
    <t>Jenny Burrows</t>
  </si>
  <si>
    <t>Andy Wigley</t>
  </si>
  <si>
    <t>Gareth Holsgrove</t>
  </si>
  <si>
    <t>Rosanna Procter</t>
  </si>
  <si>
    <t>Michael Lamb</t>
  </si>
  <si>
    <t>Simon Park</t>
  </si>
  <si>
    <t>Holly Wood</t>
  </si>
  <si>
    <t>Craig Maxwell-Keys</t>
  </si>
  <si>
    <t>James Clarke</t>
  </si>
  <si>
    <t>28-26</t>
  </si>
  <si>
    <t>5 v 1</t>
  </si>
  <si>
    <t>28</t>
  </si>
  <si>
    <t>Twickenham Stoop</t>
  </si>
  <si>
    <t>40+3</t>
  </si>
  <si>
    <t>Maude</t>
  </si>
  <si>
    <t>0-19</t>
  </si>
  <si>
    <t>19-0</t>
  </si>
  <si>
    <t>0 v 5</t>
  </si>
  <si>
    <t>19</t>
  </si>
  <si>
    <t>0</t>
  </si>
  <si>
    <t>Vallis Way</t>
  </si>
  <si>
    <t>v Tfw</t>
  </si>
  <si>
    <t xml:space="preserve"> v Lou </t>
  </si>
  <si>
    <t xml:space="preserve"> v Har</t>
  </si>
  <si>
    <t>Penalty Tries: v Lei (Oc 25)</t>
  </si>
  <si>
    <t>34-5</t>
  </si>
  <si>
    <t>5-34</t>
  </si>
  <si>
    <t>5 v 0</t>
  </si>
  <si>
    <t>5</t>
  </si>
  <si>
    <t>Morson Stadium</t>
  </si>
  <si>
    <t>v Lei</t>
  </si>
  <si>
    <t>*Childs</t>
  </si>
  <si>
    <t>*20-minute RC</t>
  </si>
  <si>
    <t>Fiona Brunt</t>
  </si>
  <si>
    <t>Henry Pearson</t>
  </si>
  <si>
    <t>Kieron Henry</t>
  </si>
  <si>
    <t>Matt Sharpe</t>
  </si>
  <si>
    <t>Calum Howard</t>
  </si>
  <si>
    <t>Ben Simpson</t>
  </si>
  <si>
    <t>Kingsholm</t>
  </si>
  <si>
    <t>TNT Sports</t>
  </si>
  <si>
    <t>TV (HM Ltd)</t>
  </si>
  <si>
    <t xml:space="preserve"> season, in relation to a breach of Reg 10.4 by selecting a player in the match against</t>
  </si>
  <si>
    <t>Trailfinders on 13 October 2024 whose baseline ImPACT testing was incomplete.</t>
  </si>
  <si>
    <t>2m 20s</t>
  </si>
  <si>
    <r>
      <rPr>
        <b/>
        <sz val="11"/>
        <rFont val="Calibri"/>
        <family val="2"/>
        <scheme val="minor"/>
      </rPr>
      <t>GLO</t>
    </r>
    <r>
      <rPr>
        <sz val="11"/>
        <rFont val="Calibri"/>
        <family val="2"/>
        <scheme val="minor"/>
      </rPr>
      <t xml:space="preserve"> (Muir) v Sar (Oc 26)</t>
    </r>
  </si>
  <si>
    <t>v Sar</t>
  </si>
  <si>
    <t>7-33</t>
  </si>
  <si>
    <t>Veryan Boscawen</t>
  </si>
  <si>
    <t>Penalty Tries:  v Exe (Nv 1)</t>
  </si>
  <si>
    <t>Nov</t>
  </si>
  <si>
    <t>1 v 5</t>
  </si>
  <si>
    <t>33</t>
  </si>
  <si>
    <t>Sandy Park</t>
  </si>
  <si>
    <t>After Round 2 (Nov 2 evening - Nov 8 morning)</t>
  </si>
  <si>
    <t>After Round 1 (Oct 26 evening - Nov 1 morning)</t>
  </si>
  <si>
    <t>Richard Gordon</t>
  </si>
  <si>
    <t>Anthony Woodtorpe</t>
  </si>
  <si>
    <t>Ryan Collier</t>
  </si>
  <si>
    <t>TIME OF BP TRIES (MINS)</t>
  </si>
  <si>
    <t>v Exe</t>
  </si>
  <si>
    <t xml:space="preserve">v Glo </t>
  </si>
  <si>
    <t>0-40</t>
  </si>
  <si>
    <t>40-0</t>
  </si>
  <si>
    <t>40</t>
  </si>
  <si>
    <t>Mattioli Woods Welford Road</t>
  </si>
  <si>
    <t>4m 02s</t>
  </si>
  <si>
    <r>
      <rPr>
        <b/>
        <sz val="11"/>
        <rFont val="Calibri"/>
        <family val="2"/>
        <scheme val="minor"/>
      </rPr>
      <t>BRI</t>
    </r>
    <r>
      <rPr>
        <sz val="11"/>
        <rFont val="Calibri"/>
        <family val="2"/>
        <scheme val="minor"/>
      </rPr>
      <t xml:space="preserve"> (Gallagher) v Lei (Nv 2)</t>
    </r>
  </si>
  <si>
    <t xml:space="preserve">v Lei </t>
  </si>
  <si>
    <t>5-0</t>
  </si>
  <si>
    <t>0-5</t>
  </si>
  <si>
    <t>4 v 1</t>
  </si>
  <si>
    <t>cinch Stadium at Franklin's Gardens</t>
  </si>
  <si>
    <t>26-5</t>
  </si>
  <si>
    <t>5-26</t>
  </si>
  <si>
    <t>StoneX Stadium</t>
  </si>
  <si>
    <t>↑1</t>
  </si>
  <si>
    <t>↓1</t>
  </si>
  <si>
    <t>↑2</t>
  </si>
  <si>
    <t>↑3</t>
  </si>
  <si>
    <t>↓3</t>
  </si>
  <si>
    <t>v Har</t>
  </si>
  <si>
    <t>1m 54s</t>
  </si>
  <si>
    <r>
      <rPr>
        <b/>
        <sz val="11"/>
        <rFont val="Calibri"/>
        <family val="2"/>
        <scheme val="minor"/>
      </rPr>
      <t>SAR</t>
    </r>
    <r>
      <rPr>
        <sz val="11"/>
        <rFont val="Calibri"/>
        <family val="2"/>
        <scheme val="minor"/>
      </rPr>
      <t xml:space="preserve"> (Corrigan) v Har (Nv 2)</t>
    </r>
  </si>
  <si>
    <t>Ag 24</t>
  </si>
  <si>
    <t>H^</t>
  </si>
  <si>
    <t>^4ED Hartpury Stadium with Vodafone; *Ashton Gate</t>
  </si>
  <si>
    <t>7-24</t>
  </si>
  <si>
    <t>Charlie Gayther</t>
  </si>
  <si>
    <t>Iain Kiy</t>
  </si>
  <si>
    <t>Kevin Williams</t>
  </si>
  <si>
    <t>0-36</t>
  </si>
  <si>
    <t>After Round 3 (Nov 9 evening - Nov 15 morning)</t>
  </si>
  <si>
    <t>Jamie Leahy</t>
  </si>
  <si>
    <t>Darryl Chapman</t>
  </si>
  <si>
    <t>12-36</t>
  </si>
  <si>
    <t>36-12</t>
  </si>
  <si>
    <t>36</t>
  </si>
  <si>
    <t>2m 02s</t>
  </si>
  <si>
    <r>
      <rPr>
        <b/>
        <sz val="11"/>
        <rFont val="Calibri"/>
        <family val="2"/>
        <scheme val="minor"/>
      </rPr>
      <t xml:space="preserve">TFW </t>
    </r>
    <r>
      <rPr>
        <sz val="11"/>
        <rFont val="Calibri"/>
        <family val="2"/>
        <scheme val="minor"/>
      </rPr>
      <t>(Ponsonby) v Sal (Nv 8)</t>
    </r>
  </si>
  <si>
    <t>v Sal</t>
  </si>
  <si>
    <t>19-14</t>
  </si>
  <si>
    <t>14-19</t>
  </si>
  <si>
    <t>2 v 5</t>
  </si>
  <si>
    <t>14</t>
  </si>
  <si>
    <t>llbtb</t>
  </si>
  <si>
    <t>12-21</t>
  </si>
  <si>
    <t>21-12</t>
  </si>
  <si>
    <t>21</t>
  </si>
  <si>
    <t>Shaftesbury Park</t>
  </si>
  <si>
    <t>v Bri</t>
  </si>
  <si>
    <t>14-14</t>
  </si>
  <si>
    <t>24-19</t>
  </si>
  <si>
    <t>24-7</t>
  </si>
  <si>
    <t>^4ED Hartpury Stadium with Vodafone</t>
  </si>
  <si>
    <t>Sp 20</t>
  </si>
  <si>
    <t>14-0</t>
  </si>
  <si>
    <t>5-27</t>
  </si>
  <si>
    <t>CPB</t>
  </si>
  <si>
    <t>28-0</t>
  </si>
  <si>
    <t>Katie Gent</t>
  </si>
  <si>
    <t>3 v 3</t>
  </si>
  <si>
    <t>v Lou</t>
  </si>
  <si>
    <t>dtb</t>
  </si>
  <si>
    <t>Gloucester</t>
  </si>
  <si>
    <t>PCC</t>
  </si>
  <si>
    <t>17-19</t>
  </si>
  <si>
    <t>0-14</t>
  </si>
  <si>
    <t>14-17</t>
  </si>
  <si>
    <t>17-14</t>
  </si>
  <si>
    <t>26-0</t>
  </si>
  <si>
    <t>7-15</t>
  </si>
  <si>
    <t>12-0</t>
  </si>
  <si>
    <t>0-46</t>
  </si>
  <si>
    <t>Ag 31</t>
  </si>
  <si>
    <t>*Battlestead Croft, Burton; ^Cooke Fields, Lichfield</t>
  </si>
  <si>
    <t>5-31</t>
  </si>
  <si>
    <t>0-26</t>
  </si>
  <si>
    <t>7-28</t>
  </si>
  <si>
    <t>31-5</t>
  </si>
  <si>
    <t>0-28</t>
  </si>
  <si>
    <t>unknown</t>
  </si>
  <si>
    <t>A#</t>
  </si>
  <si>
    <t>#Battlestead Croft, Burton, *Ashton Gate; ^Allianz Stadium, London; ~Principality Stadium, Cardiff</t>
  </si>
  <si>
    <t>46-0</t>
  </si>
  <si>
    <t>14-21</t>
  </si>
  <si>
    <t>0-12</t>
  </si>
  <si>
    <t>10-27</t>
  </si>
  <si>
    <t>Jack Sutton</t>
  </si>
  <si>
    <t>Dan Jones</t>
  </si>
  <si>
    <t>PWR CUP (TOT)</t>
  </si>
  <si>
    <t>PWR CUP (POOL)</t>
  </si>
  <si>
    <t>PWR CUP (KO)</t>
  </si>
  <si>
    <t>29-0</t>
  </si>
  <si>
    <t>Becky Piddlesden</t>
  </si>
  <si>
    <t>Pedro Diogo</t>
  </si>
  <si>
    <t>0-29</t>
  </si>
  <si>
    <t>Michael Maple</t>
  </si>
  <si>
    <t>George Ounsley</t>
  </si>
  <si>
    <t>Jason Garrick</t>
  </si>
  <si>
    <t>Richard Waller</t>
  </si>
  <si>
    <t>3m 23s</t>
  </si>
  <si>
    <r>
      <rPr>
        <b/>
        <sz val="11"/>
        <rFont val="Calibri"/>
        <family val="2"/>
        <scheme val="minor"/>
      </rPr>
      <t>SAR</t>
    </r>
    <r>
      <rPr>
        <sz val="11"/>
        <rFont val="Calibri"/>
        <family val="2"/>
        <scheme val="minor"/>
      </rPr>
      <t xml:space="preserve"> (Rose) v Lei (Nv 15)</t>
    </r>
  </si>
  <si>
    <t>24-14</t>
  </si>
  <si>
    <t>14-24</t>
  </si>
  <si>
    <t>After Round 4 (Nov 16 evening - Nov 29 morning)</t>
  </si>
  <si>
    <t>40+2</t>
  </si>
  <si>
    <t>14 Players</t>
  </si>
  <si>
    <t>13 Players</t>
  </si>
  <si>
    <t>12 Players</t>
  </si>
  <si>
    <t>11 Players</t>
  </si>
  <si>
    <t>12</t>
  </si>
  <si>
    <t>2m 06s</t>
  </si>
  <si>
    <r>
      <rPr>
        <b/>
        <sz val="11"/>
        <rFont val="Calibri"/>
        <family val="2"/>
        <scheme val="minor"/>
      </rPr>
      <t>SAL</t>
    </r>
    <r>
      <rPr>
        <sz val="11"/>
        <rFont val="Calibri"/>
        <family val="2"/>
        <scheme val="minor"/>
      </rPr>
      <t xml:space="preserve"> (Jarrell-S'rcy E) v Glo (Nv 15)</t>
    </r>
  </si>
  <si>
    <t xml:space="preserve">GLO </t>
  </si>
  <si>
    <t>↑4</t>
  </si>
  <si>
    <t xml:space="preserve">v Har </t>
  </si>
  <si>
    <t>SEASON 2024/25</t>
  </si>
  <si>
    <t>Daniel Rowlands</t>
  </si>
  <si>
    <t>Samuel Yates</t>
  </si>
  <si>
    <t>Ian Farrell</t>
  </si>
  <si>
    <t>Harry Walbaum</t>
  </si>
  <si>
    <t>Anthony Woodthorpe</t>
  </si>
  <si>
    <t>12-14</t>
  </si>
  <si>
    <t>14-12</t>
  </si>
  <si>
    <t>Nv 22</t>
  </si>
  <si>
    <t>26-10</t>
  </si>
  <si>
    <t>10</t>
  </si>
  <si>
    <t>3m 11s</t>
  </si>
  <si>
    <t>31</t>
  </si>
  <si>
    <t>3m 22s</t>
  </si>
  <si>
    <r>
      <rPr>
        <b/>
        <sz val="11"/>
        <rFont val="Calibri"/>
        <family val="2"/>
        <scheme val="minor"/>
      </rPr>
      <t>TFW</t>
    </r>
    <r>
      <rPr>
        <sz val="11"/>
        <rFont val="Calibri"/>
        <family val="2"/>
        <scheme val="minor"/>
      </rPr>
      <t xml:space="preserve"> (McGhie) v Sar (Nv 29)</t>
    </r>
  </si>
  <si>
    <t>0-35</t>
  </si>
  <si>
    <t>35-0</t>
  </si>
  <si>
    <t>35</t>
  </si>
  <si>
    <t>Ashton Gate</t>
  </si>
  <si>
    <t>↓2</t>
  </si>
  <si>
    <t>After Round 5 (Nov 30 evening - Dec 6 morning)</t>
  </si>
  <si>
    <t>3m 35s</t>
  </si>
  <si>
    <r>
      <rPr>
        <b/>
        <sz val="11"/>
        <rFont val="Calibri"/>
        <family val="2"/>
        <scheme val="minor"/>
      </rPr>
      <t>GLO</t>
    </r>
    <r>
      <rPr>
        <sz val="11"/>
        <rFont val="Calibri"/>
        <family val="2"/>
        <scheme val="minor"/>
      </rPr>
      <t xml:space="preserve"> (Monaghan) v Bri (Nv 30)</t>
    </r>
  </si>
  <si>
    <t>First to 5 tries: Rhona Lloyd (Sal) Nov 29</t>
  </si>
  <si>
    <t>Peter Allan</t>
  </si>
  <si>
    <t>Dec</t>
  </si>
  <si>
    <t>22-5</t>
  </si>
  <si>
    <t>5-22</t>
  </si>
  <si>
    <t>19-7</t>
  </si>
  <si>
    <t>7-19</t>
  </si>
  <si>
    <t>5 v 2</t>
  </si>
  <si>
    <t>7</t>
  </si>
  <si>
    <t>1m 43s</t>
  </si>
  <si>
    <r>
      <rPr>
        <b/>
        <sz val="11"/>
        <rFont val="Calibri"/>
        <family val="2"/>
        <scheme val="minor"/>
      </rPr>
      <t>HAR</t>
    </r>
    <r>
      <rPr>
        <sz val="11"/>
        <rFont val="Calibri"/>
        <family val="2"/>
        <scheme val="minor"/>
      </rPr>
      <t xml:space="preserve"> (Parry) v Lei (Dc 6)</t>
    </r>
  </si>
  <si>
    <t>12-5</t>
  </si>
  <si>
    <t>5-12</t>
  </si>
  <si>
    <t>After Round 6 (Dec 7 evening - Dec 13 morning)</t>
  </si>
  <si>
    <t>2m 24s</t>
  </si>
  <si>
    <r>
      <rPr>
        <b/>
        <sz val="11"/>
        <color theme="1"/>
        <rFont val="Calibri"/>
        <family val="2"/>
        <scheme val="minor"/>
      </rPr>
      <t xml:space="preserve">LEI </t>
    </r>
    <r>
      <rPr>
        <sz val="11"/>
        <rFont val="Calibri"/>
        <family val="2"/>
        <scheme val="minor"/>
      </rPr>
      <t>(Lingham) v Lou Nv 29</t>
    </r>
  </si>
  <si>
    <r>
      <t>LOU</t>
    </r>
    <r>
      <rPr>
        <sz val="11"/>
        <color theme="1"/>
        <rFont val="Calibri"/>
        <family val="2"/>
        <scheme val="minor"/>
      </rPr>
      <t xml:space="preserve"> v Sar (Dc 7)</t>
    </r>
  </si>
  <si>
    <t>Ja 30</t>
  </si>
  <si>
    <t>Fb 1</t>
  </si>
  <si>
    <t>Fb 7</t>
  </si>
  <si>
    <t>Fb 8</t>
  </si>
  <si>
    <t>Fb 14</t>
  </si>
  <si>
    <t>Fb 15</t>
  </si>
  <si>
    <t>Fb 21</t>
  </si>
  <si>
    <t>Fb 22</t>
  </si>
  <si>
    <t>Mr 6</t>
  </si>
  <si>
    <t>Mr 7</t>
  </si>
  <si>
    <t>Mr 13</t>
  </si>
  <si>
    <t>Mr 14</t>
  </si>
  <si>
    <t>Mr 15</t>
  </si>
  <si>
    <t>Mike Maple</t>
  </si>
  <si>
    <t>MikeWoods</t>
  </si>
  <si>
    <t>Jamie Parr</t>
  </si>
  <si>
    <t>David Rose</t>
  </si>
  <si>
    <t>Calum Hiward</t>
  </si>
  <si>
    <t>0m 41s</t>
  </si>
  <si>
    <r>
      <rPr>
        <b/>
        <sz val="11"/>
        <rFont val="Calibri"/>
        <family val="2"/>
        <scheme val="minor"/>
      </rPr>
      <t>TFW</t>
    </r>
    <r>
      <rPr>
        <sz val="11"/>
        <rFont val="Calibri"/>
        <family val="2"/>
        <scheme val="minor"/>
      </rPr>
      <t xml:space="preserve"> (Laflin) v Lei (Dc 13)</t>
    </r>
  </si>
  <si>
    <t>4m 59s</t>
  </si>
  <si>
    <r>
      <rPr>
        <b/>
        <sz val="11"/>
        <rFont val="Calibri"/>
        <family val="2"/>
        <scheme val="minor"/>
      </rPr>
      <t>TFW</t>
    </r>
    <r>
      <rPr>
        <sz val="11"/>
        <rFont val="Calibri"/>
        <family val="2"/>
        <scheme val="minor"/>
      </rPr>
      <t xml:space="preserve"> (Zackary) v Lei (Dc 13)</t>
    </r>
  </si>
  <si>
    <t>22m 04s</t>
  </si>
  <si>
    <t>22m 42s</t>
  </si>
  <si>
    <t>14-10</t>
  </si>
  <si>
    <t>10-14</t>
  </si>
  <si>
    <t>After Round 7 (Dec 14 evening - Dec 20 morning)</t>
  </si>
  <si>
    <t>10-10</t>
  </si>
  <si>
    <t>3m 28s</t>
  </si>
  <si>
    <r>
      <rPr>
        <b/>
        <sz val="11"/>
        <rFont val="Calibri"/>
        <family val="2"/>
        <scheme val="minor"/>
      </rPr>
      <t>SAL</t>
    </r>
    <r>
      <rPr>
        <sz val="11"/>
        <rFont val="Calibri"/>
        <family val="2"/>
        <scheme val="minor"/>
      </rPr>
      <t xml:space="preserve"> (Lloyd) v Har (Dc 13)</t>
    </r>
  </si>
  <si>
    <t>Alex Thomas</t>
  </si>
  <si>
    <t>Morgan White</t>
  </si>
  <si>
    <t>LIGHTNING 2025/26</t>
  </si>
  <si>
    <t>Lightning</t>
  </si>
  <si>
    <t>*Lightning have a five league point deduction, suspended until the end of the 2025/26</t>
  </si>
  <si>
    <t>*Lightning University; ^Cooke Fields, Lichfield</t>
  </si>
  <si>
    <t>*Tottenham Hotspur Stadium; ^Lightning University</t>
  </si>
  <si>
    <t>^Lightning University; *Tottenham Hotspur Stadium</t>
  </si>
  <si>
    <t>Daryl Chapman</t>
  </si>
  <si>
    <t>Allianz Stadium</t>
  </si>
  <si>
    <t>After Round 8 (Dec 21 evening - Jan 30 afternoon)</t>
  </si>
  <si>
    <t>5-21</t>
  </si>
  <si>
    <t>21-5</t>
  </si>
  <si>
    <t>12-12</t>
  </si>
  <si>
    <t>Penalty Tries: v Sal (Oc 25), Glo (Dc 21)</t>
  </si>
  <si>
    <t>7-35</t>
  </si>
  <si>
    <t>35-7</t>
  </si>
  <si>
    <t>2m 39s</t>
  </si>
  <si>
    <r>
      <rPr>
        <b/>
        <sz val="11"/>
        <rFont val="Calibri"/>
        <family val="2"/>
        <scheme val="minor"/>
      </rPr>
      <t>GLO</t>
    </r>
    <r>
      <rPr>
        <sz val="11"/>
        <rFont val="Calibri"/>
        <family val="2"/>
        <scheme val="minor"/>
      </rPr>
      <t xml:space="preserve"> (Sing) v Lei (Dc 21)</t>
    </r>
  </si>
  <si>
    <r>
      <rPr>
        <b/>
        <sz val="11"/>
        <color theme="1"/>
        <rFont val="Calibri"/>
        <family val="2"/>
        <scheme val="minor"/>
      </rPr>
      <t xml:space="preserve">SAR </t>
    </r>
    <r>
      <rPr>
        <sz val="11"/>
        <rFont val="Calibri"/>
        <family val="2"/>
        <scheme val="minor"/>
      </rPr>
      <t>(Corrigan) v Lou (Dc 7)</t>
    </r>
  </si>
  <si>
    <r>
      <t xml:space="preserve">LEI </t>
    </r>
    <r>
      <rPr>
        <sz val="11"/>
        <color theme="1"/>
        <rFont val="Calibri"/>
        <family val="2"/>
        <scheme val="minor"/>
      </rPr>
      <t>v Glo (Dc 21)</t>
    </r>
  </si>
  <si>
    <t>Hamish Grant</t>
  </si>
  <si>
    <t>Natasrsha Ganley</t>
  </si>
  <si>
    <t>Rebecca Piddlesden</t>
  </si>
  <si>
    <t>12-10</t>
  </si>
  <si>
    <t>10-12</t>
  </si>
  <si>
    <t>After Round 9 (Feb 1 evening - Feb 7 morning)</t>
  </si>
  <si>
    <t>3m 46s</t>
  </si>
  <si>
    <r>
      <rPr>
        <b/>
        <sz val="11"/>
        <rFont val="Calibri"/>
        <family val="2"/>
        <scheme val="minor"/>
      </rPr>
      <t>HAR</t>
    </r>
    <r>
      <rPr>
        <sz val="11"/>
        <rFont val="Calibri"/>
        <family val="2"/>
        <scheme val="minor"/>
      </rPr>
      <t xml:space="preserve"> (Wafer) v Tfw (Ja 30)</t>
    </r>
  </si>
  <si>
    <t>10-22</t>
  </si>
  <si>
    <t>22-10</t>
  </si>
  <si>
    <t>Jan</t>
  </si>
  <si>
    <t>Feb</t>
  </si>
  <si>
    <t>22</t>
  </si>
  <si>
    <t>80 + 1</t>
  </si>
  <si>
    <t>21-7</t>
  </si>
  <si>
    <t>Natarsha Ganley</t>
  </si>
  <si>
    <t>Andrew Jackson</t>
  </si>
  <si>
    <t>Stuart Terheege</t>
  </si>
  <si>
    <t>7-21</t>
  </si>
  <si>
    <t>28-21</t>
  </si>
  <si>
    <t>After Round 10 (Feb 8 evening - Feb 14 morning)</t>
  </si>
  <si>
    <t>7-17</t>
  </si>
  <si>
    <t>17-7</t>
  </si>
  <si>
    <t>17</t>
  </si>
  <si>
    <t>1m 32s</t>
  </si>
  <si>
    <r>
      <rPr>
        <b/>
        <sz val="11"/>
        <rFont val="Calibri"/>
        <family val="2"/>
        <scheme val="minor"/>
      </rPr>
      <t>GLO</t>
    </r>
    <r>
      <rPr>
        <sz val="11"/>
        <rFont val="Calibri"/>
        <family val="2"/>
        <scheme val="minor"/>
      </rPr>
      <t xml:space="preserve"> (Venner) v Sal (Fb 7)</t>
    </r>
  </si>
  <si>
    <t>0-54</t>
  </si>
  <si>
    <t>54-0</t>
  </si>
  <si>
    <t>54</t>
  </si>
  <si>
    <t>4m 22s</t>
  </si>
  <si>
    <r>
      <rPr>
        <b/>
        <sz val="11"/>
        <rFont val="Calibri"/>
        <family val="2"/>
        <scheme val="minor"/>
      </rPr>
      <t>SAR</t>
    </r>
    <r>
      <rPr>
        <sz val="11"/>
        <rFont val="Calibri"/>
        <family val="2"/>
        <scheme val="minor"/>
      </rPr>
      <t xml:space="preserve"> (Campbell) v Lei (Fb 8)</t>
    </r>
  </si>
  <si>
    <t>20m 28s</t>
  </si>
  <si>
    <t>19m 54s</t>
  </si>
  <si>
    <t>14m 41s</t>
  </si>
  <si>
    <t>21-28</t>
  </si>
  <si>
    <t>2m 54s</t>
  </si>
  <si>
    <r>
      <rPr>
        <b/>
        <sz val="11"/>
        <rFont val="Calibri"/>
        <family val="2"/>
        <scheme val="minor"/>
      </rPr>
      <t>HAR</t>
    </r>
    <r>
      <rPr>
        <sz val="11"/>
        <rFont val="Calibri"/>
        <family val="2"/>
        <scheme val="minor"/>
      </rPr>
      <t xml:space="preserve"> (Wafer) v Exe (Fb 8)</t>
    </r>
  </si>
  <si>
    <t>Melissa Wright</t>
  </si>
  <si>
    <t>19-10</t>
  </si>
  <si>
    <t>10-19</t>
  </si>
  <si>
    <t>Penalty Tries: v Sal (Fb 14)</t>
  </si>
  <si>
    <t>After Round 11 (Feb 15 evening - Feb 21 morning)</t>
  </si>
  <si>
    <t>Benavent, Childs, Duffy, Fray, Harper, Jarrell-Searcy E, Lloyd</t>
  </si>
  <si>
    <t>19-5</t>
  </si>
  <si>
    <t>5-19</t>
  </si>
  <si>
    <t>80 + 2</t>
  </si>
  <si>
    <t>12-26</t>
  </si>
  <si>
    <t>26-12</t>
  </si>
  <si>
    <t>26</t>
  </si>
  <si>
    <t>4m 29s</t>
  </si>
  <si>
    <r>
      <rPr>
        <b/>
        <sz val="11"/>
        <rFont val="Calibri"/>
        <family val="2"/>
        <scheme val="minor"/>
      </rPr>
      <t>BRI</t>
    </r>
    <r>
      <rPr>
        <sz val="11"/>
        <rFont val="Calibri"/>
        <family val="2"/>
        <scheme val="minor"/>
      </rPr>
      <t xml:space="preserve"> (David) v Sar (Fb 15)</t>
    </r>
  </si>
  <si>
    <t>Ben McNamara</t>
  </si>
  <si>
    <t>Simon Williams</t>
  </si>
  <si>
    <t>Gregg Dawson</t>
  </si>
  <si>
    <t>15-5</t>
  </si>
  <si>
    <t>5-15</t>
  </si>
  <si>
    <t>1 v 4</t>
  </si>
  <si>
    <t>After Round 12 (Feb 22 evening - Mar 7 morning)</t>
  </si>
  <si>
    <t>21-0</t>
  </si>
  <si>
    <t>0-21</t>
  </si>
  <si>
    <t>Feaunati, Moloney-MacDonald (Cla), Tuttosi, Wall</t>
  </si>
  <si>
    <r>
      <rPr>
        <b/>
        <sz val="11"/>
        <color rgb="FFFF0000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 xml:space="preserve"> SAL</t>
    </r>
    <r>
      <rPr>
        <sz val="11"/>
        <color theme="1"/>
        <rFont val="Calibri"/>
        <family val="2"/>
        <scheme val="minor"/>
      </rPr>
      <t xml:space="preserve"> v Lei (Oc 25)</t>
    </r>
    <r>
      <rPr>
        <b/>
        <sz val="11"/>
        <color theme="1"/>
        <rFont val="Calibri"/>
        <family val="2"/>
        <scheme val="minor"/>
      </rPr>
      <t xml:space="preserve">, TFW </t>
    </r>
    <r>
      <rPr>
        <sz val="11"/>
        <color theme="1"/>
        <rFont val="Calibri"/>
        <family val="2"/>
        <scheme val="minor"/>
      </rPr>
      <t>v Bri (Nv 15)</t>
    </r>
    <r>
      <rPr>
        <b/>
        <sz val="11"/>
        <color theme="1"/>
        <rFont val="Calibri"/>
        <family val="2"/>
        <scheme val="minor"/>
      </rPr>
      <t xml:space="preserve">, HAR </t>
    </r>
    <r>
      <rPr>
        <sz val="11"/>
        <color theme="1"/>
        <rFont val="Calibri"/>
        <family val="2"/>
        <scheme val="minor"/>
      </rPr>
      <t>v Tfw (Ja 30)</t>
    </r>
    <r>
      <rPr>
        <b/>
        <sz val="11"/>
        <color theme="1"/>
        <rFont val="Calibri"/>
        <family val="2"/>
        <scheme val="minor"/>
      </rPr>
      <t xml:space="preserve">, BRI </t>
    </r>
    <r>
      <rPr>
        <sz val="11"/>
        <color theme="1"/>
        <rFont val="Calibri"/>
        <family val="2"/>
        <scheme val="minor"/>
      </rPr>
      <t xml:space="preserve">v Sal (Fb 1), </t>
    </r>
    <r>
      <rPr>
        <b/>
        <sz val="11"/>
        <color theme="1"/>
        <rFont val="Calibri"/>
        <family val="2"/>
        <scheme val="minor"/>
      </rPr>
      <t xml:space="preserve">TFW </t>
    </r>
    <r>
      <rPr>
        <sz val="11"/>
        <color theme="1"/>
        <rFont val="Calibri"/>
        <family val="2"/>
        <scheme val="minor"/>
      </rPr>
      <t xml:space="preserve">v Sal (Fb 14), </t>
    </r>
    <r>
      <rPr>
        <b/>
        <sz val="11"/>
        <color theme="1"/>
        <rFont val="Calibri"/>
        <family val="2"/>
        <scheme val="minor"/>
      </rPr>
      <t>TFW</t>
    </r>
    <r>
      <rPr>
        <sz val="11"/>
        <color theme="1"/>
        <rFont val="Calibri"/>
        <family val="2"/>
        <scheme val="minor"/>
      </rPr>
      <t xml:space="preserve"> v Lei (Fb 21)</t>
    </r>
  </si>
  <si>
    <r>
      <rPr>
        <b/>
        <sz val="11"/>
        <color rgb="FFFF0000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TFW</t>
    </r>
    <r>
      <rPr>
        <sz val="11"/>
        <color theme="1"/>
        <rFont val="Calibri"/>
        <family val="2"/>
        <scheme val="minor"/>
      </rPr>
      <t xml:space="preserve"> v Sal (Nv 8; 7 of those pts scored when 14 v 14)</t>
    </r>
  </si>
  <si>
    <t>14-5</t>
  </si>
  <si>
    <t>5-14</t>
  </si>
  <si>
    <t>Balogun, Bern, Burns, Buisa, Clarke, Gallagher E, Pam, Phillips, Skeldon</t>
  </si>
  <si>
    <t>Joe James</t>
  </si>
  <si>
    <t>Mar</t>
  </si>
  <si>
    <t>10-26</t>
  </si>
  <si>
    <t>After Round 13 (Mar 7 evening - Mar 13 afternoon)</t>
  </si>
  <si>
    <t>3m 05s</t>
  </si>
  <si>
    <r>
      <rPr>
        <b/>
        <sz val="11"/>
        <rFont val="Calibri"/>
        <family val="2"/>
        <scheme val="minor"/>
      </rPr>
      <t>GLO</t>
    </r>
    <r>
      <rPr>
        <sz val="11"/>
        <rFont val="Calibri"/>
        <family val="2"/>
        <scheme val="minor"/>
      </rPr>
      <t xml:space="preserve"> (Brock) v Exe (Mr 6)</t>
    </r>
  </si>
  <si>
    <t>12-28</t>
  </si>
  <si>
    <t>28-12</t>
  </si>
  <si>
    <r>
      <rPr>
        <b/>
        <sz val="11"/>
        <color rgb="FFFF0000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 xml:space="preserve"> HAR</t>
    </r>
    <r>
      <rPr>
        <sz val="11"/>
        <color theme="1"/>
        <rFont val="Calibri"/>
        <family val="2"/>
        <scheme val="minor"/>
      </rPr>
      <t xml:space="preserve"> v Glo (Nv 9)</t>
    </r>
    <r>
      <rPr>
        <b/>
        <sz val="11"/>
        <color theme="1"/>
        <rFont val="Calibri"/>
        <family val="2"/>
        <scheme val="minor"/>
      </rPr>
      <t xml:space="preserve">, HAR </t>
    </r>
    <r>
      <rPr>
        <sz val="11"/>
        <color theme="1"/>
        <rFont val="Calibri"/>
        <family val="2"/>
        <scheme val="minor"/>
      </rPr>
      <t xml:space="preserve">v Lei (Dc 6), </t>
    </r>
    <r>
      <rPr>
        <b/>
        <sz val="11"/>
        <color theme="1"/>
        <rFont val="Calibri"/>
        <family val="2"/>
        <scheme val="minor"/>
      </rPr>
      <t>SAR</t>
    </r>
    <r>
      <rPr>
        <sz val="11"/>
        <color theme="1"/>
        <rFont val="Calibri"/>
        <family val="2"/>
        <scheme val="minor"/>
      </rPr>
      <t xml:space="preserve"> v Lei (Fb 8)</t>
    </r>
    <r>
      <rPr>
        <b/>
        <sz val="11"/>
        <color theme="1"/>
        <rFont val="Calibri"/>
        <family val="2"/>
        <scheme val="minor"/>
      </rPr>
      <t xml:space="preserve">, HAR v </t>
    </r>
    <r>
      <rPr>
        <sz val="11"/>
        <color theme="1"/>
        <rFont val="Calibri"/>
        <family val="2"/>
        <scheme val="minor"/>
      </rPr>
      <t>Sar (Mr 7)</t>
    </r>
  </si>
  <si>
    <t>1m 0s</t>
  </si>
  <si>
    <r>
      <rPr>
        <b/>
        <sz val="11"/>
        <rFont val="Calibri"/>
        <family val="2"/>
        <scheme val="minor"/>
      </rPr>
      <t>BRI</t>
    </r>
    <r>
      <rPr>
        <sz val="11"/>
        <rFont val="Calibri"/>
        <family val="2"/>
        <scheme val="minor"/>
      </rPr>
      <t xml:space="preserve"> (Short) v Lei (Mr 7)</t>
    </r>
  </si>
  <si>
    <t>5-17</t>
  </si>
  <si>
    <t>17-5</t>
  </si>
  <si>
    <t>q</t>
  </si>
  <si>
    <t>2m 15s</t>
  </si>
  <si>
    <r>
      <rPr>
        <b/>
        <sz val="11"/>
        <rFont val="Calibri"/>
        <family val="2"/>
        <scheme val="minor"/>
      </rPr>
      <t>LOU</t>
    </r>
    <r>
      <rPr>
        <sz val="11"/>
        <rFont val="Calibri"/>
        <family val="2"/>
        <scheme val="minor"/>
      </rPr>
      <t xml:space="preserve"> (Kelter) v Sal (Mr 7)</t>
    </r>
  </si>
  <si>
    <t>First to 100 Points: Zoe Harrison (Sar) Mr 7</t>
  </si>
  <si>
    <t>First to 10 tries: May Campbell (Sar) Mr 7</t>
  </si>
  <si>
    <t>Neil Chivers</t>
  </si>
  <si>
    <t>Sara Cox</t>
  </si>
  <si>
    <t>After Round 14 (Mar 15 evening - Mar 20 afternoon)</t>
  </si>
  <si>
    <r>
      <rPr>
        <b/>
        <sz val="11"/>
        <color rgb="FFFF0000"/>
        <rFont val="Calibri"/>
        <family val="2"/>
        <scheme val="minor"/>
      </rPr>
      <t>19</t>
    </r>
    <r>
      <rPr>
        <b/>
        <sz val="11"/>
        <color theme="1"/>
        <rFont val="Calibri"/>
        <family val="2"/>
        <scheme val="minor"/>
      </rPr>
      <t xml:space="preserve"> SAR</t>
    </r>
    <r>
      <rPr>
        <sz val="11"/>
        <color theme="1"/>
        <rFont val="Calibri"/>
        <family val="2"/>
        <scheme val="minor"/>
      </rPr>
      <t xml:space="preserve"> v Lei (Nv 15)</t>
    </r>
    <r>
      <rPr>
        <b/>
        <sz val="11"/>
        <color theme="1"/>
        <rFont val="Calibri"/>
        <family val="2"/>
        <scheme val="minor"/>
      </rPr>
      <t xml:space="preserve"> x 2, LOU </t>
    </r>
    <r>
      <rPr>
        <sz val="11"/>
        <color theme="1"/>
        <rFont val="Calibri"/>
        <family val="2"/>
        <scheme val="minor"/>
      </rPr>
      <t>v Har (Mr 13)</t>
    </r>
  </si>
  <si>
    <t>4m 35s</t>
  </si>
  <si>
    <r>
      <rPr>
        <b/>
        <sz val="11"/>
        <rFont val="Calibri"/>
        <family val="2"/>
        <scheme val="minor"/>
      </rPr>
      <t>EXE</t>
    </r>
    <r>
      <rPr>
        <sz val="11"/>
        <rFont val="Calibri"/>
        <family val="2"/>
        <scheme val="minor"/>
      </rPr>
      <t xml:space="preserve"> (M-MacD Cli) v Tfw (Mr 14)</t>
    </r>
  </si>
  <si>
    <t>Cox (2), Tuffnail (2), Zackary (2), Head, Meta, White</t>
  </si>
  <si>
    <t>3-19</t>
  </si>
  <si>
    <t>19-3</t>
  </si>
  <si>
    <t>Allen (2), Daley, Dunne, Henrich, Labeyrie, McCalman, Richardson, Ross, Russell</t>
  </si>
  <si>
    <r>
      <rPr>
        <b/>
        <sz val="11"/>
        <color rgb="FFFF0000"/>
        <rFont val="Calibri"/>
        <family val="2"/>
        <scheme val="minor"/>
      </rPr>
      <t>21</t>
    </r>
    <r>
      <rPr>
        <b/>
        <sz val="11"/>
        <color theme="1"/>
        <rFont val="Calibri"/>
        <family val="2"/>
        <scheme val="minor"/>
      </rPr>
      <t xml:space="preserve"> BRI</t>
    </r>
    <r>
      <rPr>
        <sz val="11"/>
        <color theme="1"/>
        <rFont val="Calibri"/>
        <family val="2"/>
        <scheme val="minor"/>
      </rPr>
      <t xml:space="preserve"> v Lei (Mr 7)</t>
    </r>
    <r>
      <rPr>
        <b/>
        <sz val="11"/>
        <color theme="1"/>
        <rFont val="Calibri"/>
        <family val="2"/>
        <scheme val="minor"/>
      </rPr>
      <t>, SAL</t>
    </r>
    <r>
      <rPr>
        <sz val="11"/>
        <color theme="1"/>
        <rFont val="Calibri"/>
        <family val="2"/>
        <scheme val="minor"/>
      </rPr>
      <t xml:space="preserve"> v Lei (Mr 14)</t>
    </r>
  </si>
  <si>
    <t>Q</t>
  </si>
  <si>
    <t>Omokhuale (2), Clifford, Gregson, MacDougall, Packer</t>
  </si>
  <si>
    <t>Steven Randall</t>
  </si>
  <si>
    <t>George Dunsley</t>
  </si>
  <si>
    <t>Rosie Proctor</t>
  </si>
  <si>
    <t>5-7</t>
  </si>
  <si>
    <t>7-5</t>
  </si>
  <si>
    <t>After Round 15 (Mar 22 evening - Mar 27 afternoon)</t>
  </si>
  <si>
    <t>at 26/03/26</t>
  </si>
  <si>
    <t>Fleming (2), Konkel (2), Cromack, Kildunne, Powell K, Svoboda, Wafer, Wythe</t>
  </si>
  <si>
    <t>as at 26/03/26</t>
  </si>
  <si>
    <t>as at 26/03/26 (excludes 4 cancelled matches)</t>
  </si>
  <si>
    <t>0-31</t>
  </si>
  <si>
    <t>31-0</t>
  </si>
  <si>
    <t>Mr 21</t>
  </si>
  <si>
    <r>
      <rPr>
        <b/>
        <sz val="11"/>
        <rFont val="Calibri"/>
        <family val="2"/>
        <scheme val="minor"/>
      </rPr>
      <t>GLO</t>
    </r>
    <r>
      <rPr>
        <sz val="11"/>
        <rFont val="Calibri"/>
        <family val="2"/>
        <scheme val="minor"/>
      </rPr>
      <t xml:space="preserve"> (Venner)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v Lou (Mr 22)</t>
    </r>
  </si>
  <si>
    <t>v Glo (Mr 22)</t>
  </si>
  <si>
    <t>Mr 22</t>
  </si>
  <si>
    <t>Dallavalle, Goulden, Hendy, Hunt, Venner</t>
  </si>
  <si>
    <r>
      <t>SAR</t>
    </r>
    <r>
      <rPr>
        <sz val="11"/>
        <color theme="1"/>
        <rFont val="Calibri"/>
        <family val="2"/>
        <scheme val="minor"/>
      </rPr>
      <t xml:space="preserve"> v Exe (Fb 21), </t>
    </r>
    <r>
      <rPr>
        <b/>
        <sz val="11"/>
        <color theme="1"/>
        <rFont val="Calibri"/>
        <family val="2"/>
        <scheme val="minor"/>
      </rPr>
      <t>LOU</t>
    </r>
    <r>
      <rPr>
        <sz val="11"/>
        <color theme="1"/>
        <rFont val="Calibri"/>
        <family val="2"/>
        <scheme val="minor"/>
      </rPr>
      <t xml:space="preserve"> v Glo (Mr 22)</t>
    </r>
  </si>
  <si>
    <r>
      <t xml:space="preserve">LOU </t>
    </r>
    <r>
      <rPr>
        <sz val="11"/>
        <color theme="1"/>
        <rFont val="Calibri"/>
        <family val="2"/>
        <scheme val="minor"/>
      </rPr>
      <t>v Glo (Mr 22)</t>
    </r>
  </si>
  <si>
    <t>14-7</t>
  </si>
  <si>
    <t>7-14</t>
  </si>
  <si>
    <t>4 v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</si>
</sst>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rgb="FFF2F2F2"/>
      <name val="Calibri"/>
      <family val="2"/>
      <scheme val="minor"/>
    </font>
    <font>
      <b/>
      <sz val="11"/>
      <color rgb="FFE23518"/>
      <name val="Calibri"/>
      <family val="2"/>
      <scheme val="minor"/>
    </font>
    <font>
      <sz val="11"/>
      <color rgb="FFE23518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2"/>
      <color theme="9" tint="0.3999755851924192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0"/>
      <color theme="9" tint="0.39997558519241921"/>
      <name val="Calibri"/>
      <family val="2"/>
      <scheme val="minor"/>
    </font>
    <font>
      <b/>
      <sz val="10"/>
      <color theme="9" tint="0.39997558519241921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A6A6A6"/>
      <name val="Calibri"/>
      <family val="2"/>
      <scheme val="minor"/>
    </font>
    <font>
      <sz val="11"/>
      <color rgb="FFA6A6A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8" tint="0.39997558519241921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2"/>
      <color theme="8" tint="0.39997558519241921"/>
      <name val="Calibri"/>
      <family val="2"/>
      <scheme val="minor"/>
    </font>
    <font>
      <sz val="10"/>
      <color theme="8" tint="0.39997558519241921"/>
      <name val="Calibri"/>
      <family val="2"/>
      <scheme val="minor"/>
    </font>
    <font>
      <b/>
      <sz val="10"/>
      <color theme="8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theme="8" tint="0.3999755851924192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365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theme="0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865">
    <xf numFmtId="0" fontId="0" fillId="0" borderId="0" xfId="0"/>
    <xf numFmtId="0" fontId="11" fillId="0" borderId="0" xfId="0" applyFont="1"/>
    <xf numFmtId="1" fontId="0" fillId="0" borderId="1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right" vertical="center" wrapText="1"/>
    </xf>
    <xf numFmtId="0" fontId="14" fillId="5" borderId="6" xfId="0" applyFont="1" applyFill="1" applyBorder="1" applyAlignment="1">
      <alignment horizontal="right" vertical="center" wrapText="1"/>
    </xf>
    <xf numFmtId="0" fontId="14" fillId="5" borderId="5" xfId="0" applyFont="1" applyFill="1" applyBorder="1" applyAlignment="1">
      <alignment vertical="center" wrapText="1"/>
    </xf>
    <xf numFmtId="0" fontId="14" fillId="11" borderId="6" xfId="0" applyFont="1" applyFill="1" applyBorder="1" applyAlignment="1">
      <alignment vertical="center" wrapText="1"/>
    </xf>
    <xf numFmtId="0" fontId="14" fillId="11" borderId="6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19" fillId="8" borderId="0" xfId="0" applyFont="1" applyFill="1"/>
    <xf numFmtId="0" fontId="12" fillId="5" borderId="1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0" fontId="12" fillId="11" borderId="4" xfId="0" applyFont="1" applyFill="1" applyBorder="1" applyAlignment="1">
      <alignment vertical="center" wrapText="1"/>
    </xf>
    <xf numFmtId="0" fontId="12" fillId="12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/>
    <xf numFmtId="0" fontId="18" fillId="8" borderId="2" xfId="0" applyFont="1" applyFill="1" applyBorder="1"/>
    <xf numFmtId="0" fontId="18" fillId="8" borderId="3" xfId="0" applyFont="1" applyFill="1" applyBorder="1"/>
    <xf numFmtId="0" fontId="18" fillId="8" borderId="10" xfId="0" applyFont="1" applyFill="1" applyBorder="1" applyAlignment="1">
      <alignment vertical="center" wrapText="1"/>
    </xf>
    <xf numFmtId="0" fontId="18" fillId="8" borderId="5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/>
    <xf numFmtId="49" fontId="17" fillId="8" borderId="7" xfId="0" applyNumberFormat="1" applyFont="1" applyFill="1" applyBorder="1"/>
    <xf numFmtId="0" fontId="17" fillId="8" borderId="8" xfId="0" applyFont="1" applyFill="1" applyBorder="1"/>
    <xf numFmtId="0" fontId="17" fillId="8" borderId="9" xfId="0" applyFont="1" applyFill="1" applyBorder="1"/>
    <xf numFmtId="0" fontId="0" fillId="3" borderId="0" xfId="0" applyFill="1"/>
    <xf numFmtId="0" fontId="20" fillId="0" borderId="0" xfId="0" applyFont="1"/>
    <xf numFmtId="0" fontId="0" fillId="8" borderId="0" xfId="0" applyFill="1"/>
    <xf numFmtId="0" fontId="0" fillId="0" borderId="9" xfId="0" applyBorder="1"/>
    <xf numFmtId="0" fontId="0" fillId="10" borderId="0" xfId="0" applyFill="1"/>
    <xf numFmtId="0" fontId="19" fillId="10" borderId="0" xfId="0" applyFont="1" applyFill="1"/>
    <xf numFmtId="0" fontId="23" fillId="4" borderId="0" xfId="0" applyFont="1" applyFill="1"/>
    <xf numFmtId="0" fontId="16" fillId="0" borderId="0" xfId="0" applyFont="1"/>
    <xf numFmtId="0" fontId="15" fillId="3" borderId="0" xfId="0" applyFont="1" applyFill="1"/>
    <xf numFmtId="0" fontId="24" fillId="6" borderId="1" xfId="0" applyFont="1" applyFill="1" applyBorder="1"/>
    <xf numFmtId="0" fontId="24" fillId="6" borderId="2" xfId="0" applyFont="1" applyFill="1" applyBorder="1"/>
    <xf numFmtId="0" fontId="25" fillId="6" borderId="1" xfId="0" applyFont="1" applyFill="1" applyBorder="1"/>
    <xf numFmtId="0" fontId="26" fillId="0" borderId="0" xfId="0" applyFont="1"/>
    <xf numFmtId="0" fontId="24" fillId="6" borderId="10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5" fillId="6" borderId="7" xfId="0" applyFont="1" applyFill="1" applyBorder="1"/>
    <xf numFmtId="0" fontId="25" fillId="6" borderId="8" xfId="0" applyFont="1" applyFill="1" applyBorder="1"/>
    <xf numFmtId="0" fontId="25" fillId="6" borderId="9" xfId="0" applyFont="1" applyFill="1" applyBorder="1"/>
    <xf numFmtId="49" fontId="16" fillId="6" borderId="7" xfId="0" applyNumberFormat="1" applyFont="1" applyFill="1" applyBorder="1"/>
    <xf numFmtId="0" fontId="15" fillId="10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/>
    </xf>
    <xf numFmtId="1" fontId="13" fillId="3" borderId="5" xfId="0" applyNumberFormat="1" applyFont="1" applyFill="1" applyBorder="1" applyAlignment="1">
      <alignment horizontal="right" vertical="center" wrapText="1"/>
    </xf>
    <xf numFmtId="0" fontId="24" fillId="6" borderId="1" xfId="0" applyFont="1" applyFill="1" applyBorder="1" applyAlignment="1">
      <alignment horizontal="right"/>
    </xf>
    <xf numFmtId="0" fontId="18" fillId="8" borderId="1" xfId="0" applyFont="1" applyFill="1" applyBorder="1" applyAlignment="1">
      <alignment horizontal="right"/>
    </xf>
    <xf numFmtId="0" fontId="0" fillId="0" borderId="0" xfId="0" applyAlignment="1">
      <alignment horizontal="left" vertical="center" indent="1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/>
    <xf numFmtId="0" fontId="15" fillId="14" borderId="1" xfId="0" applyFont="1" applyFill="1" applyBorder="1"/>
    <xf numFmtId="0" fontId="15" fillId="8" borderId="1" xfId="0" applyFont="1" applyFill="1" applyBorder="1" applyAlignment="1">
      <alignment horizontal="center"/>
    </xf>
    <xf numFmtId="0" fontId="27" fillId="0" borderId="0" xfId="0" applyFont="1"/>
    <xf numFmtId="0" fontId="10" fillId="0" borderId="0" xfId="0" applyFont="1"/>
    <xf numFmtId="0" fontId="15" fillId="14" borderId="2" xfId="0" applyFont="1" applyFill="1" applyBorder="1"/>
    <xf numFmtId="0" fontId="15" fillId="14" borderId="3" xfId="0" applyFont="1" applyFill="1" applyBorder="1"/>
    <xf numFmtId="0" fontId="15" fillId="14" borderId="4" xfId="0" applyFont="1" applyFill="1" applyBorder="1"/>
    <xf numFmtId="0" fontId="15" fillId="14" borderId="1" xfId="0" applyFont="1" applyFill="1" applyBorder="1" applyAlignment="1">
      <alignment horizontal="center"/>
    </xf>
    <xf numFmtId="0" fontId="15" fillId="14" borderId="0" xfId="0" applyFont="1" applyFill="1" applyAlignment="1">
      <alignment horizontal="center"/>
    </xf>
    <xf numFmtId="0" fontId="28" fillId="14" borderId="1" xfId="0" applyFont="1" applyFill="1" applyBorder="1"/>
    <xf numFmtId="0" fontId="15" fillId="10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right" vertical="center" wrapText="1"/>
    </xf>
    <xf numFmtId="0" fontId="30" fillId="2" borderId="0" xfId="0" applyFont="1" applyFill="1" applyAlignment="1">
      <alignment horizontal="right" vertical="center" wrapText="1"/>
    </xf>
    <xf numFmtId="0" fontId="32" fillId="2" borderId="0" xfId="0" applyFont="1" applyFill="1" applyAlignment="1">
      <alignment horizontal="right" vertical="center" wrapText="1"/>
    </xf>
    <xf numFmtId="0" fontId="31" fillId="2" borderId="0" xfId="0" applyFont="1" applyFill="1" applyAlignment="1">
      <alignment vertical="center" wrapText="1"/>
    </xf>
    <xf numFmtId="0" fontId="13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horizontal="right" vertical="center" wrapText="1"/>
    </xf>
    <xf numFmtId="0" fontId="13" fillId="13" borderId="6" xfId="0" applyFont="1" applyFill="1" applyBorder="1" applyAlignment="1">
      <alignment horizontal="right" vertical="center" wrapText="1"/>
    </xf>
    <xf numFmtId="0" fontId="15" fillId="15" borderId="5" xfId="0" applyFont="1" applyFill="1" applyBorder="1" applyAlignment="1">
      <alignment vertical="center" wrapText="1"/>
    </xf>
    <xf numFmtId="0" fontId="15" fillId="15" borderId="1" xfId="0" applyFont="1" applyFill="1" applyBorder="1" applyAlignment="1">
      <alignment vertical="center" wrapText="1"/>
    </xf>
    <xf numFmtId="0" fontId="15" fillId="15" borderId="1" xfId="0" applyFont="1" applyFill="1" applyBorder="1" applyAlignment="1">
      <alignment horizontal="center"/>
    </xf>
    <xf numFmtId="0" fontId="15" fillId="15" borderId="2" xfId="0" applyFont="1" applyFill="1" applyBorder="1"/>
    <xf numFmtId="0" fontId="15" fillId="15" borderId="1" xfId="0" applyFont="1" applyFill="1" applyBorder="1"/>
    <xf numFmtId="0" fontId="15" fillId="15" borderId="3" xfId="0" applyFont="1" applyFill="1" applyBorder="1"/>
    <xf numFmtId="0" fontId="15" fillId="15" borderId="10" xfId="0" applyFont="1" applyFill="1" applyBorder="1" applyAlignment="1">
      <alignment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6" fillId="15" borderId="7" xfId="0" applyFont="1" applyFill="1" applyBorder="1"/>
    <xf numFmtId="0" fontId="16" fillId="15" borderId="8" xfId="0" applyFont="1" applyFill="1" applyBorder="1"/>
    <xf numFmtId="0" fontId="16" fillId="15" borderId="9" xfId="0" applyFont="1" applyFill="1" applyBorder="1"/>
    <xf numFmtId="0" fontId="15" fillId="15" borderId="1" xfId="0" applyFont="1" applyFill="1" applyBorder="1" applyAlignment="1">
      <alignment horizontal="right"/>
    </xf>
    <xf numFmtId="1" fontId="13" fillId="16" borderId="5" xfId="0" applyNumberFormat="1" applyFont="1" applyFill="1" applyBorder="1" applyAlignment="1">
      <alignment horizontal="right" vertical="center" wrapText="1"/>
    </xf>
    <xf numFmtId="0" fontId="13" fillId="16" borderId="6" xfId="0" applyFont="1" applyFill="1" applyBorder="1" applyAlignment="1">
      <alignment vertical="center" wrapText="1"/>
    </xf>
    <xf numFmtId="0" fontId="14" fillId="16" borderId="6" xfId="0" applyFont="1" applyFill="1" applyBorder="1" applyAlignment="1">
      <alignment horizontal="right" vertical="center" wrapText="1"/>
    </xf>
    <xf numFmtId="0" fontId="13" fillId="16" borderId="6" xfId="0" applyFont="1" applyFill="1" applyBorder="1" applyAlignment="1">
      <alignment horizontal="right" vertical="center" wrapText="1"/>
    </xf>
    <xf numFmtId="0" fontId="33" fillId="8" borderId="1" xfId="0" applyFont="1" applyFill="1" applyBorder="1" applyAlignment="1">
      <alignment horizontal="center"/>
    </xf>
    <xf numFmtId="0" fontId="33" fillId="8" borderId="2" xfId="0" applyFont="1" applyFill="1" applyBorder="1"/>
    <xf numFmtId="0" fontId="33" fillId="8" borderId="1" xfId="0" applyFont="1" applyFill="1" applyBorder="1"/>
    <xf numFmtId="0" fontId="33" fillId="8" borderId="12" xfId="0" applyFont="1" applyFill="1" applyBorder="1"/>
    <xf numFmtId="0" fontId="33" fillId="8" borderId="3" xfId="0" applyFont="1" applyFill="1" applyBorder="1"/>
    <xf numFmtId="0" fontId="33" fillId="8" borderId="10" xfId="0" applyFont="1" applyFill="1" applyBorder="1" applyAlignment="1">
      <alignment vertical="center" wrapText="1"/>
    </xf>
    <xf numFmtId="0" fontId="33" fillId="8" borderId="5" xfId="0" applyFont="1" applyFill="1" applyBorder="1" applyAlignment="1">
      <alignment vertical="center" wrapText="1"/>
    </xf>
    <xf numFmtId="0" fontId="33" fillId="8" borderId="1" xfId="0" applyFont="1" applyFill="1" applyBorder="1" applyAlignment="1">
      <alignment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 vertical="center" wrapText="1"/>
    </xf>
    <xf numFmtId="0" fontId="34" fillId="8" borderId="7" xfId="0" applyFont="1" applyFill="1" applyBorder="1"/>
    <xf numFmtId="49" fontId="34" fillId="8" borderId="7" xfId="0" applyNumberFormat="1" applyFont="1" applyFill="1" applyBorder="1"/>
    <xf numFmtId="0" fontId="34" fillId="8" borderId="8" xfId="0" applyFont="1" applyFill="1" applyBorder="1"/>
    <xf numFmtId="0" fontId="34" fillId="8" borderId="13" xfId="0" applyFont="1" applyFill="1" applyBorder="1"/>
    <xf numFmtId="0" fontId="34" fillId="8" borderId="9" xfId="0" applyFont="1" applyFill="1" applyBorder="1"/>
    <xf numFmtId="0" fontId="33" fillId="8" borderId="1" xfId="0" applyFont="1" applyFill="1" applyBorder="1" applyAlignment="1">
      <alignment horizontal="right"/>
    </xf>
    <xf numFmtId="0" fontId="33" fillId="8" borderId="2" xfId="0" applyFont="1" applyFill="1" applyBorder="1" applyAlignment="1">
      <alignment horizontal="right"/>
    </xf>
    <xf numFmtId="0" fontId="36" fillId="10" borderId="2" xfId="0" applyFont="1" applyFill="1" applyBorder="1"/>
    <xf numFmtId="0" fontId="36" fillId="8" borderId="2" xfId="0" applyFont="1" applyFill="1" applyBorder="1"/>
    <xf numFmtId="17" fontId="36" fillId="2" borderId="0" xfId="0" applyNumberFormat="1" applyFont="1" applyFill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0" fontId="35" fillId="14" borderId="1" xfId="0" applyFont="1" applyFill="1" applyBorder="1" applyAlignment="1">
      <alignment horizontal="center" vertical="center" wrapText="1"/>
    </xf>
    <xf numFmtId="0" fontId="35" fillId="0" borderId="0" xfId="0" applyFont="1"/>
    <xf numFmtId="0" fontId="35" fillId="3" borderId="0" xfId="0" applyFont="1" applyFill="1"/>
    <xf numFmtId="0" fontId="35" fillId="14" borderId="1" xfId="0" applyFont="1" applyFill="1" applyBorder="1"/>
    <xf numFmtId="0" fontId="35" fillId="8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 wrapText="1"/>
    </xf>
    <xf numFmtId="0" fontId="36" fillId="0" borderId="0" xfId="0" applyFont="1"/>
    <xf numFmtId="0" fontId="35" fillId="14" borderId="4" xfId="0" applyFont="1" applyFill="1" applyBorder="1" applyAlignment="1">
      <alignment horizontal="center" vertical="center" wrapText="1"/>
    </xf>
    <xf numFmtId="0" fontId="35" fillId="10" borderId="4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/>
    </xf>
    <xf numFmtId="0" fontId="15" fillId="17" borderId="2" xfId="0" applyFont="1" applyFill="1" applyBorder="1"/>
    <xf numFmtId="0" fontId="15" fillId="17" borderId="1" xfId="0" applyFont="1" applyFill="1" applyBorder="1"/>
    <xf numFmtId="0" fontId="15" fillId="17" borderId="3" xfId="0" applyFont="1" applyFill="1" applyBorder="1"/>
    <xf numFmtId="0" fontId="15" fillId="17" borderId="10" xfId="0" applyFont="1" applyFill="1" applyBorder="1" applyAlignment="1">
      <alignment vertical="center" wrapText="1"/>
    </xf>
    <xf numFmtId="0" fontId="15" fillId="17" borderId="5" xfId="0" applyFont="1" applyFill="1" applyBorder="1" applyAlignment="1">
      <alignment vertical="center" wrapText="1"/>
    </xf>
    <xf numFmtId="0" fontId="15" fillId="17" borderId="1" xfId="0" applyFont="1" applyFill="1" applyBorder="1" applyAlignment="1">
      <alignment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15" fillId="17" borderId="6" xfId="0" applyFont="1" applyFill="1" applyBorder="1" applyAlignment="1">
      <alignment horizontal="center" vertical="center" wrapText="1"/>
    </xf>
    <xf numFmtId="49" fontId="16" fillId="17" borderId="7" xfId="0" applyNumberFormat="1" applyFont="1" applyFill="1" applyBorder="1"/>
    <xf numFmtId="0" fontId="16" fillId="17" borderId="8" xfId="0" applyFont="1" applyFill="1" applyBorder="1"/>
    <xf numFmtId="0" fontId="16" fillId="17" borderId="7" xfId="0" applyFont="1" applyFill="1" applyBorder="1"/>
    <xf numFmtId="0" fontId="16" fillId="17" borderId="9" xfId="0" applyFont="1" applyFill="1" applyBorder="1"/>
    <xf numFmtId="0" fontId="15" fillId="17" borderId="1" xfId="0" applyFont="1" applyFill="1" applyBorder="1" applyAlignment="1">
      <alignment horizontal="right"/>
    </xf>
    <xf numFmtId="0" fontId="15" fillId="17" borderId="2" xfId="0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38" fillId="10" borderId="6" xfId="0" applyFont="1" applyFill="1" applyBorder="1" applyAlignment="1">
      <alignment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40" fillId="10" borderId="8" xfId="0" applyFont="1" applyFill="1" applyBorder="1"/>
    <xf numFmtId="0" fontId="40" fillId="10" borderId="7" xfId="0" applyFont="1" applyFill="1" applyBorder="1"/>
    <xf numFmtId="0" fontId="40" fillId="10" borderId="9" xfId="0" applyFont="1" applyFill="1" applyBorder="1"/>
    <xf numFmtId="0" fontId="38" fillId="8" borderId="6" xfId="0" applyFont="1" applyFill="1" applyBorder="1" applyAlignment="1">
      <alignment vertical="center" wrapText="1"/>
    </xf>
    <xf numFmtId="0" fontId="38" fillId="8" borderId="6" xfId="0" applyFont="1" applyFill="1" applyBorder="1" applyAlignment="1">
      <alignment horizontal="center" vertical="center" wrapText="1"/>
    </xf>
    <xf numFmtId="17" fontId="38" fillId="8" borderId="5" xfId="0" applyNumberFormat="1" applyFont="1" applyFill="1" applyBorder="1" applyAlignment="1">
      <alignment horizontal="left" vertical="center" wrapText="1"/>
    </xf>
    <xf numFmtId="0" fontId="38" fillId="8" borderId="6" xfId="0" applyFont="1" applyFill="1" applyBorder="1" applyAlignment="1">
      <alignment horizontal="left" vertical="center" wrapText="1"/>
    </xf>
    <xf numFmtId="49" fontId="39" fillId="8" borderId="1" xfId="0" applyNumberFormat="1" applyFont="1" applyFill="1" applyBorder="1" applyAlignment="1">
      <alignment horizontal="center"/>
    </xf>
    <xf numFmtId="0" fontId="40" fillId="8" borderId="2" xfId="0" applyFont="1" applyFill="1" applyBorder="1"/>
    <xf numFmtId="0" fontId="40" fillId="8" borderId="1" xfId="0" applyFont="1" applyFill="1" applyBorder="1"/>
    <xf numFmtId="0" fontId="40" fillId="8" borderId="4" xfId="0" applyFont="1" applyFill="1" applyBorder="1"/>
    <xf numFmtId="0" fontId="40" fillId="8" borderId="3" xfId="0" applyFont="1" applyFill="1" applyBorder="1"/>
    <xf numFmtId="17" fontId="38" fillId="10" borderId="5" xfId="0" applyNumberFormat="1" applyFont="1" applyFill="1" applyBorder="1" applyAlignment="1">
      <alignment horizontal="left" vertical="center" wrapText="1"/>
    </xf>
    <xf numFmtId="0" fontId="38" fillId="10" borderId="6" xfId="0" applyFont="1" applyFill="1" applyBorder="1" applyAlignment="1">
      <alignment horizontal="left" vertical="center" wrapText="1"/>
    </xf>
    <xf numFmtId="49" fontId="41" fillId="10" borderId="7" xfId="0" applyNumberFormat="1" applyFont="1" applyFill="1" applyBorder="1" applyAlignment="1">
      <alignment horizontal="center"/>
    </xf>
    <xf numFmtId="0" fontId="40" fillId="10" borderId="1" xfId="0" applyFont="1" applyFill="1" applyBorder="1"/>
    <xf numFmtId="0" fontId="40" fillId="10" borderId="4" xfId="0" applyFont="1" applyFill="1" applyBorder="1"/>
    <xf numFmtId="0" fontId="40" fillId="10" borderId="3" xfId="0" applyFont="1" applyFill="1" applyBorder="1"/>
    <xf numFmtId="17" fontId="38" fillId="8" borderId="1" xfId="0" applyNumberFormat="1" applyFont="1" applyFill="1" applyBorder="1" applyAlignment="1">
      <alignment horizontal="left" vertical="center" wrapText="1"/>
    </xf>
    <xf numFmtId="0" fontId="38" fillId="8" borderId="4" xfId="0" applyFont="1" applyFill="1" applyBorder="1" applyAlignment="1">
      <alignment vertical="center" wrapText="1"/>
    </xf>
    <xf numFmtId="0" fontId="38" fillId="8" borderId="4" xfId="0" applyFont="1" applyFill="1" applyBorder="1" applyAlignment="1">
      <alignment horizontal="center" vertical="center" wrapText="1"/>
    </xf>
    <xf numFmtId="49" fontId="42" fillId="8" borderId="1" xfId="0" applyNumberFormat="1" applyFont="1" applyFill="1" applyBorder="1" applyAlignment="1">
      <alignment horizontal="center"/>
    </xf>
    <xf numFmtId="49" fontId="41" fillId="10" borderId="1" xfId="0" applyNumberFormat="1" applyFont="1" applyFill="1" applyBorder="1" applyAlignment="1">
      <alignment horizontal="center"/>
    </xf>
    <xf numFmtId="0" fontId="40" fillId="10" borderId="2" xfId="0" applyFont="1" applyFill="1" applyBorder="1"/>
    <xf numFmtId="0" fontId="40" fillId="10" borderId="10" xfId="0" applyFont="1" applyFill="1" applyBorder="1"/>
    <xf numFmtId="0" fontId="40" fillId="10" borderId="5" xfId="0" applyFont="1" applyFill="1" applyBorder="1"/>
    <xf numFmtId="49" fontId="41" fillId="8" borderId="1" xfId="0" applyNumberFormat="1" applyFont="1" applyFill="1" applyBorder="1" applyAlignment="1">
      <alignment horizontal="center"/>
    </xf>
    <xf numFmtId="49" fontId="39" fillId="10" borderId="1" xfId="0" applyNumberFormat="1" applyFont="1" applyFill="1" applyBorder="1" applyAlignment="1">
      <alignment horizontal="center"/>
    </xf>
    <xf numFmtId="0" fontId="38" fillId="8" borderId="5" xfId="0" applyFont="1" applyFill="1" applyBorder="1" applyAlignment="1">
      <alignment horizontal="left" vertical="center" wrapText="1"/>
    </xf>
    <xf numFmtId="0" fontId="38" fillId="10" borderId="5" xfId="0" applyFont="1" applyFill="1" applyBorder="1" applyAlignment="1">
      <alignment horizontal="left" vertical="center" wrapText="1"/>
    </xf>
    <xf numFmtId="49" fontId="43" fillId="10" borderId="1" xfId="0" applyNumberFormat="1" applyFont="1" applyFill="1" applyBorder="1" applyAlignment="1">
      <alignment horizontal="center"/>
    </xf>
    <xf numFmtId="0" fontId="11" fillId="18" borderId="0" xfId="0" applyFont="1" applyFill="1"/>
    <xf numFmtId="1" fontId="0" fillId="18" borderId="0" xfId="0" applyNumberFormat="1" applyFill="1"/>
    <xf numFmtId="0" fontId="0" fillId="18" borderId="0" xfId="0" applyFill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right"/>
    </xf>
    <xf numFmtId="0" fontId="11" fillId="18" borderId="0" xfId="0" applyFont="1" applyFill="1" applyAlignment="1">
      <alignment horizontal="left"/>
    </xf>
    <xf numFmtId="1" fontId="11" fillId="18" borderId="0" xfId="0" applyNumberFormat="1" applyFont="1" applyFill="1" applyAlignment="1">
      <alignment horizontal="left"/>
    </xf>
    <xf numFmtId="2" fontId="0" fillId="18" borderId="0" xfId="0" applyNumberFormat="1" applyFill="1" applyAlignment="1">
      <alignment horizontal="center"/>
    </xf>
    <xf numFmtId="0" fontId="0" fillId="18" borderId="0" xfId="0" applyFill="1"/>
    <xf numFmtId="49" fontId="0" fillId="18" borderId="0" xfId="0" applyNumberFormat="1" applyFill="1"/>
    <xf numFmtId="1" fontId="0" fillId="18" borderId="0" xfId="0" applyNumberFormat="1" applyFill="1" applyAlignment="1">
      <alignment horizontal="right"/>
    </xf>
    <xf numFmtId="49" fontId="0" fillId="18" borderId="0" xfId="0" applyNumberFormat="1" applyFill="1" applyAlignment="1">
      <alignment horizontal="left"/>
    </xf>
    <xf numFmtId="0" fontId="0" fillId="3" borderId="0" xfId="0" applyFill="1" applyAlignment="1">
      <alignment horizontal="right"/>
    </xf>
    <xf numFmtId="0" fontId="14" fillId="0" borderId="0" xfId="0" applyFont="1"/>
    <xf numFmtId="0" fontId="11" fillId="19" borderId="0" xfId="0" applyFont="1" applyFill="1" applyAlignment="1">
      <alignment horizontal="left"/>
    </xf>
    <xf numFmtId="1" fontId="11" fillId="19" borderId="0" xfId="0" applyNumberFormat="1" applyFont="1" applyFill="1" applyAlignment="1">
      <alignment horizontal="left"/>
    </xf>
    <xf numFmtId="0" fontId="0" fillId="19" borderId="0" xfId="0" applyFill="1" applyAlignment="1">
      <alignment horizontal="right"/>
    </xf>
    <xf numFmtId="2" fontId="0" fillId="19" borderId="0" xfId="0" applyNumberFormat="1" applyFill="1" applyAlignment="1">
      <alignment horizontal="center"/>
    </xf>
    <xf numFmtId="0" fontId="0" fillId="19" borderId="0" xfId="0" applyFill="1"/>
    <xf numFmtId="1" fontId="0" fillId="19" borderId="0" xfId="0" applyNumberFormat="1" applyFill="1"/>
    <xf numFmtId="49" fontId="0" fillId="19" borderId="0" xfId="0" applyNumberFormat="1" applyFill="1"/>
    <xf numFmtId="1" fontId="0" fillId="19" borderId="0" xfId="0" applyNumberFormat="1" applyFill="1" applyAlignment="1">
      <alignment horizontal="right"/>
    </xf>
    <xf numFmtId="49" fontId="0" fillId="19" borderId="0" xfId="0" applyNumberFormat="1" applyFill="1" applyAlignment="1">
      <alignment horizontal="left"/>
    </xf>
    <xf numFmtId="17" fontId="0" fillId="19" borderId="0" xfId="0" applyNumberFormat="1" applyFill="1" applyAlignment="1">
      <alignment horizontal="left"/>
    </xf>
    <xf numFmtId="1" fontId="0" fillId="19" borderId="0" xfId="0" applyNumberFormat="1" applyFill="1" applyAlignment="1">
      <alignment horizontal="left"/>
    </xf>
    <xf numFmtId="0" fontId="37" fillId="0" borderId="0" xfId="0" applyFont="1"/>
    <xf numFmtId="1" fontId="0" fillId="18" borderId="0" xfId="0" applyNumberFormat="1" applyFill="1" applyAlignment="1">
      <alignment horizontal="left"/>
    </xf>
    <xf numFmtId="17" fontId="11" fillId="18" borderId="0" xfId="0" applyNumberFormat="1" applyFont="1" applyFill="1" applyAlignment="1">
      <alignment horizontal="left"/>
    </xf>
    <xf numFmtId="17" fontId="0" fillId="18" borderId="0" xfId="0" applyNumberFormat="1" applyFill="1" applyAlignment="1">
      <alignment horizontal="left"/>
    </xf>
    <xf numFmtId="17" fontId="11" fillId="19" borderId="0" xfId="0" applyNumberFormat="1" applyFont="1" applyFill="1" applyAlignment="1">
      <alignment horizontal="left"/>
    </xf>
    <xf numFmtId="20" fontId="0" fillId="19" borderId="0" xfId="0" applyNumberFormat="1" applyFill="1" applyAlignment="1">
      <alignment horizontal="center"/>
    </xf>
    <xf numFmtId="0" fontId="0" fillId="18" borderId="0" xfId="0" applyFill="1" applyAlignment="1">
      <alignment horizontal="center"/>
    </xf>
    <xf numFmtId="0" fontId="0" fillId="18" borderId="0" xfId="0" applyFill="1" applyAlignment="1">
      <alignment horizontal="left"/>
    </xf>
    <xf numFmtId="0" fontId="11" fillId="3" borderId="0" xfId="0" applyFont="1" applyFill="1"/>
    <xf numFmtId="0" fontId="0" fillId="19" borderId="0" xfId="0" applyFill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9" borderId="2" xfId="0" applyFont="1" applyFill="1" applyBorder="1"/>
    <xf numFmtId="0" fontId="15" fillId="9" borderId="1" xfId="0" applyFont="1" applyFill="1" applyBorder="1"/>
    <xf numFmtId="0" fontId="15" fillId="9" borderId="3" xfId="0" applyFont="1" applyFill="1" applyBorder="1"/>
    <xf numFmtId="0" fontId="15" fillId="9" borderId="10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/>
    <xf numFmtId="0" fontId="16" fillId="9" borderId="8" xfId="0" applyFont="1" applyFill="1" applyBorder="1"/>
    <xf numFmtId="0" fontId="16" fillId="9" borderId="9" xfId="0" applyFont="1" applyFill="1" applyBorder="1"/>
    <xf numFmtId="0" fontId="15" fillId="9" borderId="1" xfId="0" applyFont="1" applyFill="1" applyBorder="1" applyAlignment="1">
      <alignment horizontal="right"/>
    </xf>
    <xf numFmtId="0" fontId="45" fillId="21" borderId="1" xfId="0" applyFont="1" applyFill="1" applyBorder="1" applyAlignment="1">
      <alignment horizontal="center"/>
    </xf>
    <xf numFmtId="0" fontId="45" fillId="21" borderId="2" xfId="0" applyFont="1" applyFill="1" applyBorder="1"/>
    <xf numFmtId="0" fontId="45" fillId="21" borderId="1" xfId="0" applyFont="1" applyFill="1" applyBorder="1"/>
    <xf numFmtId="0" fontId="45" fillId="21" borderId="3" xfId="0" applyFont="1" applyFill="1" applyBorder="1"/>
    <xf numFmtId="0" fontId="45" fillId="21" borderId="10" xfId="0" applyFont="1" applyFill="1" applyBorder="1" applyAlignment="1">
      <alignment vertical="center" wrapText="1"/>
    </xf>
    <xf numFmtId="0" fontId="45" fillId="21" borderId="5" xfId="0" applyFont="1" applyFill="1" applyBorder="1" applyAlignment="1">
      <alignment vertical="center" wrapText="1"/>
    </xf>
    <xf numFmtId="0" fontId="45" fillId="21" borderId="1" xfId="0" applyFont="1" applyFill="1" applyBorder="1" applyAlignment="1">
      <alignment vertical="center" wrapText="1"/>
    </xf>
    <xf numFmtId="0" fontId="45" fillId="21" borderId="1" xfId="0" applyFont="1" applyFill="1" applyBorder="1" applyAlignment="1">
      <alignment horizontal="center" vertical="center" wrapText="1"/>
    </xf>
    <xf numFmtId="0" fontId="45" fillId="21" borderId="6" xfId="0" applyFont="1" applyFill="1" applyBorder="1" applyAlignment="1">
      <alignment horizontal="center" vertical="center" wrapText="1"/>
    </xf>
    <xf numFmtId="0" fontId="46" fillId="21" borderId="7" xfId="0" applyFont="1" applyFill="1" applyBorder="1"/>
    <xf numFmtId="0" fontId="46" fillId="21" borderId="8" xfId="0" applyFont="1" applyFill="1" applyBorder="1"/>
    <xf numFmtId="0" fontId="46" fillId="21" borderId="9" xfId="0" applyFont="1" applyFill="1" applyBorder="1"/>
    <xf numFmtId="0" fontId="45" fillId="21" borderId="1" xfId="0" applyFont="1" applyFill="1" applyBorder="1" applyAlignment="1">
      <alignment horizontal="right"/>
    </xf>
    <xf numFmtId="0" fontId="11" fillId="4" borderId="8" xfId="0" applyFont="1" applyFill="1" applyBorder="1" applyAlignment="1">
      <alignment vertical="center" wrapText="1"/>
    </xf>
    <xf numFmtId="0" fontId="11" fillId="22" borderId="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22" borderId="19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 wrapText="1"/>
    </xf>
    <xf numFmtId="0" fontId="11" fillId="22" borderId="19" xfId="0" applyFont="1" applyFill="1" applyBorder="1" applyAlignment="1">
      <alignment horizontal="right" vertical="center" wrapText="1"/>
    </xf>
    <xf numFmtId="0" fontId="44" fillId="3" borderId="18" xfId="0" applyFont="1" applyFill="1" applyBorder="1" applyAlignment="1">
      <alignment horizontal="center" vertical="center" wrapText="1"/>
    </xf>
    <xf numFmtId="0" fontId="49" fillId="8" borderId="1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9" fillId="5" borderId="20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44" fillId="3" borderId="21" xfId="0" applyFont="1" applyFill="1" applyBorder="1" applyAlignment="1">
      <alignment horizontal="center" vertical="center" wrapText="1"/>
    </xf>
    <xf numFmtId="0" fontId="11" fillId="22" borderId="5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vertical="center" wrapText="1"/>
    </xf>
    <xf numFmtId="0" fontId="11" fillId="22" borderId="22" xfId="0" applyFont="1" applyFill="1" applyBorder="1" applyAlignment="1">
      <alignment horizontal="center" vertical="center" wrapText="1"/>
    </xf>
    <xf numFmtId="0" fontId="11" fillId="22" borderId="23" xfId="0" applyFont="1" applyFill="1" applyBorder="1" applyAlignment="1">
      <alignment horizontal="center" vertical="center" wrapText="1"/>
    </xf>
    <xf numFmtId="0" fontId="11" fillId="22" borderId="23" xfId="0" applyFont="1" applyFill="1" applyBorder="1" applyAlignment="1">
      <alignment horizontal="right" vertical="center" wrapText="1"/>
    </xf>
    <xf numFmtId="0" fontId="49" fillId="3" borderId="0" xfId="0" applyFont="1" applyFill="1" applyAlignment="1">
      <alignment horizontal="center" vertical="center" wrapText="1"/>
    </xf>
    <xf numFmtId="0" fontId="11" fillId="22" borderId="6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right" vertical="center" wrapText="1"/>
    </xf>
    <xf numFmtId="0" fontId="11" fillId="23" borderId="1" xfId="0" applyFont="1" applyFill="1" applyBorder="1"/>
    <xf numFmtId="0" fontId="50" fillId="24" borderId="2" xfId="0" applyFont="1" applyFill="1" applyBorder="1" applyAlignment="1">
      <alignment horizontal="center" vertical="center" wrapText="1"/>
    </xf>
    <xf numFmtId="0" fontId="50" fillId="24" borderId="3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right"/>
    </xf>
    <xf numFmtId="0" fontId="11" fillId="13" borderId="5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  <xf numFmtId="0" fontId="11" fillId="13" borderId="25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3" fillId="27" borderId="5" xfId="0" applyFont="1" applyFill="1" applyBorder="1" applyAlignment="1">
      <alignment vertical="center" wrapText="1"/>
    </xf>
    <xf numFmtId="0" fontId="13" fillId="24" borderId="5" xfId="0" applyFont="1" applyFill="1" applyBorder="1" applyAlignment="1">
      <alignment horizontal="right" vertical="center" wrapText="1"/>
    </xf>
    <xf numFmtId="0" fontId="13" fillId="25" borderId="6" xfId="0" applyFont="1" applyFill="1" applyBorder="1" applyAlignment="1">
      <alignment vertical="center" wrapText="1"/>
    </xf>
    <xf numFmtId="0" fontId="11" fillId="26" borderId="1" xfId="0" applyFont="1" applyFill="1" applyBorder="1"/>
    <xf numFmtId="0" fontId="11" fillId="0" borderId="19" xfId="0" applyFont="1" applyBorder="1"/>
    <xf numFmtId="0" fontId="0" fillId="0" borderId="26" xfId="0" applyBorder="1"/>
    <xf numFmtId="1" fontId="11" fillId="0" borderId="23" xfId="0" applyNumberFormat="1" applyFont="1" applyBorder="1"/>
    <xf numFmtId="0" fontId="11" fillId="27" borderId="5" xfId="0" applyFont="1" applyFill="1" applyBorder="1" applyAlignment="1">
      <alignment vertical="center" wrapText="1"/>
    </xf>
    <xf numFmtId="0" fontId="11" fillId="24" borderId="5" xfId="0" applyFont="1" applyFill="1" applyBorder="1" applyAlignment="1">
      <alignment horizontal="right" vertical="center" wrapText="1"/>
    </xf>
    <xf numFmtId="0" fontId="11" fillId="24" borderId="5" xfId="0" applyFont="1" applyFill="1" applyBorder="1"/>
    <xf numFmtId="2" fontId="11" fillId="0" borderId="19" xfId="0" applyNumberFormat="1" applyFont="1" applyBorder="1"/>
    <xf numFmtId="2" fontId="11" fillId="0" borderId="23" xfId="0" applyNumberFormat="1" applyFont="1" applyBorder="1"/>
    <xf numFmtId="0" fontId="11" fillId="24" borderId="5" xfId="0" applyFont="1" applyFill="1" applyBorder="1" applyAlignment="1">
      <alignment horizontal="left" vertical="center" wrapText="1"/>
    </xf>
    <xf numFmtId="0" fontId="13" fillId="25" borderId="6" xfId="0" applyFont="1" applyFill="1" applyBorder="1" applyAlignment="1">
      <alignment horizontal="right" vertical="center" wrapText="1"/>
    </xf>
    <xf numFmtId="0" fontId="13" fillId="25" borderId="1" xfId="0" applyFont="1" applyFill="1" applyBorder="1" applyAlignment="1">
      <alignment vertical="center" wrapText="1"/>
    </xf>
    <xf numFmtId="0" fontId="13" fillId="25" borderId="1" xfId="0" applyFont="1" applyFill="1" applyBorder="1" applyAlignment="1">
      <alignment horizontal="right" vertical="center" wrapText="1"/>
    </xf>
    <xf numFmtId="0" fontId="11" fillId="0" borderId="1" xfId="0" applyFont="1" applyBorder="1"/>
    <xf numFmtId="0" fontId="11" fillId="0" borderId="12" xfId="0" applyFont="1" applyBorder="1"/>
    <xf numFmtId="0" fontId="11" fillId="0" borderId="4" xfId="0" applyFont="1" applyBorder="1"/>
    <xf numFmtId="0" fontId="11" fillId="0" borderId="24" xfId="0" applyFont="1" applyBorder="1"/>
    <xf numFmtId="2" fontId="11" fillId="0" borderId="1" xfId="0" applyNumberFormat="1" applyFont="1" applyBorder="1"/>
    <xf numFmtId="2" fontId="11" fillId="0" borderId="4" xfId="0" applyNumberFormat="1" applyFont="1" applyBorder="1"/>
    <xf numFmtId="0" fontId="11" fillId="0" borderId="0" xfId="0" applyFont="1" applyAlignment="1">
      <alignment horizontal="right"/>
    </xf>
    <xf numFmtId="14" fontId="11" fillId="0" borderId="0" xfId="0" applyNumberFormat="1" applyFont="1" applyAlignment="1">
      <alignment horizontal="right"/>
    </xf>
    <xf numFmtId="1" fontId="11" fillId="0" borderId="22" xfId="0" applyNumberFormat="1" applyFont="1" applyBorder="1"/>
    <xf numFmtId="0" fontId="48" fillId="0" borderId="0" xfId="0" applyFont="1" applyAlignment="1">
      <alignment horizontal="right"/>
    </xf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vertical="center" wrapText="1"/>
    </xf>
    <xf numFmtId="0" fontId="12" fillId="0" borderId="9" xfId="0" applyFont="1" applyBorder="1"/>
    <xf numFmtId="0" fontId="12" fillId="0" borderId="0" xfId="0" applyFont="1"/>
    <xf numFmtId="0" fontId="11" fillId="8" borderId="0" xfId="0" applyFont="1" applyFill="1" applyAlignment="1">
      <alignment horizontal="right"/>
    </xf>
    <xf numFmtId="0" fontId="47" fillId="0" borderId="0" xfId="21"/>
    <xf numFmtId="0" fontId="11" fillId="28" borderId="0" xfId="0" applyFont="1" applyFill="1"/>
    <xf numFmtId="0" fontId="0" fillId="28" borderId="0" xfId="0" applyFill="1"/>
    <xf numFmtId="0" fontId="11" fillId="28" borderId="0" xfId="0" applyFont="1" applyFill="1" applyAlignment="1">
      <alignment horizontal="center" vertical="center"/>
    </xf>
    <xf numFmtId="0" fontId="11" fillId="28" borderId="0" xfId="0" applyFont="1" applyFill="1" applyAlignment="1">
      <alignment horizontal="right" vertical="center"/>
    </xf>
    <xf numFmtId="0" fontId="37" fillId="28" borderId="0" xfId="0" applyFont="1" applyFill="1"/>
    <xf numFmtId="0" fontId="37" fillId="28" borderId="0" xfId="0" applyFont="1" applyFill="1" applyAlignment="1">
      <alignment vertical="center"/>
    </xf>
    <xf numFmtId="0" fontId="0" fillId="28" borderId="0" xfId="0" applyFill="1" applyAlignment="1">
      <alignment vertical="center"/>
    </xf>
    <xf numFmtId="0" fontId="14" fillId="28" borderId="0" xfId="0" applyFont="1" applyFill="1"/>
    <xf numFmtId="0" fontId="14" fillId="28" borderId="0" xfId="0" applyFont="1" applyFill="1" applyAlignment="1">
      <alignment vertical="center"/>
    </xf>
    <xf numFmtId="0" fontId="13" fillId="28" borderId="0" xfId="0" applyFont="1" applyFill="1"/>
    <xf numFmtId="1" fontId="11" fillId="28" borderId="0" xfId="0" applyNumberFormat="1" applyFont="1" applyFill="1"/>
    <xf numFmtId="0" fontId="11" fillId="28" borderId="0" xfId="0" applyFont="1" applyFill="1" applyAlignment="1">
      <alignment horizontal="right"/>
    </xf>
    <xf numFmtId="0" fontId="13" fillId="25" borderId="5" xfId="0" applyFont="1" applyFill="1" applyBorder="1" applyAlignment="1">
      <alignment vertical="center" wrapText="1"/>
    </xf>
    <xf numFmtId="0" fontId="12" fillId="3" borderId="0" xfId="0" applyFont="1" applyFill="1"/>
    <xf numFmtId="0" fontId="12" fillId="28" borderId="0" xfId="0" applyFont="1" applyFill="1"/>
    <xf numFmtId="17" fontId="38" fillId="10" borderId="1" xfId="0" applyNumberFormat="1" applyFont="1" applyFill="1" applyBorder="1" applyAlignment="1">
      <alignment horizontal="left" vertical="center" wrapText="1"/>
    </xf>
    <xf numFmtId="0" fontId="38" fillId="10" borderId="4" xfId="0" applyFont="1" applyFill="1" applyBorder="1" applyAlignment="1">
      <alignment vertical="center" wrapText="1"/>
    </xf>
    <xf numFmtId="0" fontId="38" fillId="10" borderId="4" xfId="0" applyFont="1" applyFill="1" applyBorder="1" applyAlignment="1">
      <alignment horizontal="center" vertical="center" wrapText="1"/>
    </xf>
    <xf numFmtId="49" fontId="42" fillId="10" borderId="1" xfId="0" applyNumberFormat="1" applyFont="1" applyFill="1" applyBorder="1" applyAlignment="1">
      <alignment horizontal="center"/>
    </xf>
    <xf numFmtId="0" fontId="40" fillId="8" borderId="8" xfId="0" applyFont="1" applyFill="1" applyBorder="1"/>
    <xf numFmtId="0" fontId="40" fillId="8" borderId="7" xfId="0" applyFont="1" applyFill="1" applyBorder="1"/>
    <xf numFmtId="0" fontId="40" fillId="8" borderId="9" xfId="0" applyFont="1" applyFill="1" applyBorder="1"/>
    <xf numFmtId="49" fontId="41" fillId="8" borderId="5" xfId="0" applyNumberFormat="1" applyFont="1" applyFill="1" applyBorder="1" applyAlignment="1">
      <alignment horizontal="center"/>
    </xf>
    <xf numFmtId="0" fontId="40" fillId="8" borderId="10" xfId="0" applyFont="1" applyFill="1" applyBorder="1"/>
    <xf numFmtId="0" fontId="40" fillId="8" borderId="5" xfId="0" applyFont="1" applyFill="1" applyBorder="1"/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49" fontId="39" fillId="10" borderId="7" xfId="0" applyNumberFormat="1" applyFont="1" applyFill="1" applyBorder="1" applyAlignment="1">
      <alignment horizontal="center"/>
    </xf>
    <xf numFmtId="49" fontId="39" fillId="8" borderId="7" xfId="0" applyNumberFormat="1" applyFont="1" applyFill="1" applyBorder="1" applyAlignment="1">
      <alignment horizontal="center"/>
    </xf>
    <xf numFmtId="49" fontId="43" fillId="8" borderId="1" xfId="0" applyNumberFormat="1" applyFont="1" applyFill="1" applyBorder="1" applyAlignment="1">
      <alignment horizontal="center"/>
    </xf>
    <xf numFmtId="0" fontId="14" fillId="3" borderId="0" xfId="0" applyFont="1" applyFill="1"/>
    <xf numFmtId="1" fontId="0" fillId="18" borderId="0" xfId="0" applyNumberFormat="1" applyFill="1" applyAlignment="1">
      <alignment horizontal="center"/>
    </xf>
    <xf numFmtId="0" fontId="13" fillId="8" borderId="17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1" fontId="0" fillId="19" borderId="0" xfId="0" applyNumberFormat="1" applyFill="1" applyAlignment="1">
      <alignment horizontal="center"/>
    </xf>
    <xf numFmtId="0" fontId="0" fillId="8" borderId="0" xfId="0" applyFill="1" applyAlignment="1">
      <alignment horizontal="right"/>
    </xf>
    <xf numFmtId="0" fontId="14" fillId="3" borderId="0" xfId="0" applyFont="1" applyFill="1" applyAlignment="1">
      <alignment horizontal="right" vertical="center" wrapText="1"/>
    </xf>
    <xf numFmtId="49" fontId="41" fillId="8" borderId="7" xfId="0" applyNumberFormat="1" applyFont="1" applyFill="1" applyBorder="1" applyAlignment="1">
      <alignment horizontal="center"/>
    </xf>
    <xf numFmtId="49" fontId="39" fillId="8" borderId="5" xfId="0" applyNumberFormat="1" applyFont="1" applyFill="1" applyBorder="1" applyAlignment="1">
      <alignment horizontal="center"/>
    </xf>
    <xf numFmtId="49" fontId="39" fillId="10" borderId="5" xfId="0" applyNumberFormat="1" applyFont="1" applyFill="1" applyBorder="1" applyAlignment="1">
      <alignment horizontal="center"/>
    </xf>
    <xf numFmtId="0" fontId="44" fillId="8" borderId="18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14" fontId="12" fillId="0" borderId="0" xfId="0" applyNumberFormat="1" applyFont="1" applyAlignment="1">
      <alignment horizontal="left"/>
    </xf>
    <xf numFmtId="0" fontId="13" fillId="5" borderId="0" xfId="0" applyFont="1" applyFill="1" applyAlignment="1">
      <alignment horizontal="right" vertical="center" wrapText="1"/>
    </xf>
    <xf numFmtId="0" fontId="11" fillId="19" borderId="0" xfId="0" applyFont="1" applyFill="1"/>
    <xf numFmtId="49" fontId="40" fillId="10" borderId="1" xfId="0" applyNumberFormat="1" applyFont="1" applyFill="1" applyBorder="1" applyAlignment="1">
      <alignment horizontal="center"/>
    </xf>
    <xf numFmtId="49" fontId="40" fillId="8" borderId="1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5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4" fillId="3" borderId="6" xfId="0" applyFont="1" applyFill="1" applyBorder="1" applyAlignment="1">
      <alignment vertical="center" wrapText="1"/>
    </xf>
    <xf numFmtId="0" fontId="0" fillId="29" borderId="6" xfId="0" applyFill="1" applyBorder="1" applyAlignment="1">
      <alignment horizontal="center" vertical="center" wrapText="1"/>
    </xf>
    <xf numFmtId="0" fontId="14" fillId="29" borderId="6" xfId="0" applyFont="1" applyFill="1" applyBorder="1" applyAlignment="1">
      <alignment horizontal="center" vertical="center" wrapText="1"/>
    </xf>
    <xf numFmtId="0" fontId="0" fillId="29" borderId="6" xfId="0" applyFill="1" applyBorder="1" applyAlignment="1">
      <alignment vertical="center" wrapText="1"/>
    </xf>
    <xf numFmtId="0" fontId="13" fillId="30" borderId="4" xfId="0" applyFont="1" applyFill="1" applyBorder="1" applyAlignment="1">
      <alignment vertical="center" wrapText="1"/>
    </xf>
    <xf numFmtId="0" fontId="13" fillId="31" borderId="4" xfId="0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 wrapText="1"/>
    </xf>
    <xf numFmtId="0" fontId="13" fillId="32" borderId="4" xfId="0" applyFont="1" applyFill="1" applyBorder="1" applyAlignment="1">
      <alignment vertical="center" wrapText="1"/>
    </xf>
    <xf numFmtId="0" fontId="13" fillId="33" borderId="4" xfId="0" applyFont="1" applyFill="1" applyBorder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15" fillId="8" borderId="0" xfId="0" applyFont="1" applyFill="1" applyAlignment="1">
      <alignment horizontal="right"/>
    </xf>
    <xf numFmtId="0" fontId="14" fillId="30" borderId="6" xfId="0" applyFont="1" applyFill="1" applyBorder="1" applyAlignment="1">
      <alignment horizontal="right" vertical="center" wrapText="1"/>
    </xf>
    <xf numFmtId="0" fontId="14" fillId="30" borderId="6" xfId="0" applyFont="1" applyFill="1" applyBorder="1" applyAlignment="1">
      <alignment vertical="center" wrapText="1"/>
    </xf>
    <xf numFmtId="0" fontId="14" fillId="31" borderId="6" xfId="0" applyFont="1" applyFill="1" applyBorder="1" applyAlignment="1">
      <alignment horizontal="right" vertical="center" wrapText="1"/>
    </xf>
    <xf numFmtId="0" fontId="14" fillId="31" borderId="6" xfId="0" applyFont="1" applyFill="1" applyBorder="1" applyAlignment="1">
      <alignment vertical="center" wrapText="1"/>
    </xf>
    <xf numFmtId="0" fontId="16" fillId="8" borderId="6" xfId="0" applyFont="1" applyFill="1" applyBorder="1" applyAlignment="1">
      <alignment vertical="center" wrapText="1"/>
    </xf>
    <xf numFmtId="0" fontId="14" fillId="32" borderId="6" xfId="0" applyFont="1" applyFill="1" applyBorder="1" applyAlignment="1">
      <alignment horizontal="right" vertical="center" wrapText="1"/>
    </xf>
    <xf numFmtId="0" fontId="14" fillId="32" borderId="6" xfId="0" applyFont="1" applyFill="1" applyBorder="1" applyAlignment="1">
      <alignment vertical="center" wrapText="1"/>
    </xf>
    <xf numFmtId="0" fontId="14" fillId="33" borderId="6" xfId="0" applyFont="1" applyFill="1" applyBorder="1" applyAlignment="1">
      <alignment vertical="center" wrapText="1"/>
    </xf>
    <xf numFmtId="0" fontId="14" fillId="33" borderId="6" xfId="0" applyFont="1" applyFill="1" applyBorder="1" applyAlignment="1">
      <alignment horizontal="right" vertical="center" wrapText="1"/>
    </xf>
    <xf numFmtId="0" fontId="16" fillId="8" borderId="0" xfId="0" applyFont="1" applyFill="1" applyAlignment="1">
      <alignment horizontal="right" vertical="center" wrapText="1"/>
    </xf>
    <xf numFmtId="0" fontId="15" fillId="8" borderId="0" xfId="0" applyFont="1" applyFill="1"/>
    <xf numFmtId="0" fontId="12" fillId="5" borderId="5" xfId="0" applyFont="1" applyFill="1" applyBorder="1" applyAlignment="1">
      <alignment vertical="center" wrapText="1"/>
    </xf>
    <xf numFmtId="0" fontId="13" fillId="30" borderId="6" xfId="0" applyFont="1" applyFill="1" applyBorder="1" applyAlignment="1">
      <alignment horizontal="center" vertical="center" wrapText="1"/>
    </xf>
    <xf numFmtId="0" fontId="13" fillId="31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3" fillId="32" borderId="6" xfId="0" applyFont="1" applyFill="1" applyBorder="1" applyAlignment="1">
      <alignment horizontal="center" vertical="center" wrapText="1"/>
    </xf>
    <xf numFmtId="0" fontId="13" fillId="33" borderId="6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right" vertical="center" wrapText="1"/>
    </xf>
    <xf numFmtId="0" fontId="14" fillId="33" borderId="1" xfId="0" applyFont="1" applyFill="1" applyBorder="1" applyAlignment="1">
      <alignment horizontal="right" vertical="center" wrapText="1"/>
    </xf>
    <xf numFmtId="0" fontId="14" fillId="33" borderId="5" xfId="0" applyFont="1" applyFill="1" applyBorder="1" applyAlignment="1">
      <alignment horizontal="right" vertical="center" wrapText="1"/>
    </xf>
    <xf numFmtId="0" fontId="13" fillId="30" borderId="6" xfId="0" applyFont="1" applyFill="1" applyBorder="1" applyAlignment="1">
      <alignment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0" fillId="0" borderId="14" xfId="0" applyBorder="1"/>
    <xf numFmtId="0" fontId="23" fillId="3" borderId="0" xfId="0" applyFont="1" applyFill="1"/>
    <xf numFmtId="0" fontId="19" fillId="3" borderId="0" xfId="0" applyFont="1" applyFill="1"/>
    <xf numFmtId="0" fontId="15" fillId="9" borderId="6" xfId="0" applyFont="1" applyFill="1" applyBorder="1" applyAlignment="1">
      <alignment vertical="center" wrapText="1"/>
    </xf>
    <xf numFmtId="0" fontId="16" fillId="9" borderId="1" xfId="0" applyFont="1" applyFill="1" applyBorder="1"/>
    <xf numFmtId="0" fontId="14" fillId="5" borderId="1" xfId="0" applyFont="1" applyFill="1" applyBorder="1" applyAlignment="1">
      <alignment vertical="center" wrapText="1"/>
    </xf>
    <xf numFmtId="0" fontId="53" fillId="13" borderId="6" xfId="0" applyFont="1" applyFill="1" applyBorder="1" applyAlignment="1">
      <alignment vertical="center" wrapText="1"/>
    </xf>
    <xf numFmtId="0" fontId="53" fillId="9" borderId="6" xfId="0" applyFont="1" applyFill="1" applyBorder="1" applyAlignment="1">
      <alignment vertical="center" wrapText="1"/>
    </xf>
    <xf numFmtId="0" fontId="53" fillId="3" borderId="6" xfId="0" applyFont="1" applyFill="1" applyBorder="1" applyAlignment="1">
      <alignment vertical="center" wrapText="1"/>
    </xf>
    <xf numFmtId="49" fontId="38" fillId="8" borderId="1" xfId="0" applyNumberFormat="1" applyFont="1" applyFill="1" applyBorder="1" applyAlignment="1">
      <alignment horizontal="center"/>
    </xf>
    <xf numFmtId="0" fontId="13" fillId="3" borderId="0" xfId="0" applyFont="1" applyFill="1"/>
    <xf numFmtId="1" fontId="11" fillId="0" borderId="0" xfId="0" applyNumberFormat="1" applyFont="1"/>
    <xf numFmtId="0" fontId="11" fillId="8" borderId="0" xfId="0" applyFont="1" applyFill="1"/>
    <xf numFmtId="0" fontId="16" fillId="15" borderId="12" xfId="0" applyFont="1" applyFill="1" applyBorder="1"/>
    <xf numFmtId="1" fontId="0" fillId="3" borderId="0" xfId="0" applyNumberFormat="1" applyFill="1"/>
    <xf numFmtId="1" fontId="14" fillId="0" borderId="0" xfId="0" applyNumberFormat="1" applyFont="1"/>
    <xf numFmtId="1" fontId="14" fillId="3" borderId="0" xfId="0" applyNumberFormat="1" applyFont="1" applyFill="1"/>
    <xf numFmtId="0" fontId="16" fillId="8" borderId="18" xfId="0" applyFont="1" applyFill="1" applyBorder="1" applyAlignment="1">
      <alignment horizontal="center" vertical="center" wrapText="1"/>
    </xf>
    <xf numFmtId="0" fontId="13" fillId="30" borderId="4" xfId="0" applyFont="1" applyFill="1" applyBorder="1" applyAlignment="1">
      <alignment horizontal="center" vertical="center" wrapText="1"/>
    </xf>
    <xf numFmtId="49" fontId="13" fillId="30" borderId="4" xfId="0" applyNumberFormat="1" applyFont="1" applyFill="1" applyBorder="1" applyAlignment="1">
      <alignment vertical="center" wrapText="1"/>
    </xf>
    <xf numFmtId="0" fontId="44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6" fillId="0" borderId="4" xfId="0" applyFont="1" applyBorder="1" applyAlignment="1">
      <alignment horizontal="right" vertical="center" wrapText="1"/>
    </xf>
    <xf numFmtId="0" fontId="26" fillId="0" borderId="6" xfId="0" applyFont="1" applyBorder="1" applyAlignment="1">
      <alignment horizontal="right" vertical="center" wrapText="1"/>
    </xf>
    <xf numFmtId="0" fontId="15" fillId="17" borderId="0" xfId="0" applyFont="1" applyFill="1"/>
    <xf numFmtId="9" fontId="37" fillId="28" borderId="0" xfId="0" applyNumberFormat="1" applyFont="1" applyFill="1" applyAlignment="1">
      <alignment horizontal="center" vertical="center"/>
    </xf>
    <xf numFmtId="9" fontId="0" fillId="28" borderId="0" xfId="0" applyNumberFormat="1" applyFill="1" applyAlignment="1">
      <alignment horizontal="center" vertical="center"/>
    </xf>
    <xf numFmtId="9" fontId="14" fillId="28" borderId="0" xfId="0" applyNumberFormat="1" applyFont="1" applyFill="1" applyAlignment="1">
      <alignment horizontal="center" vertical="center"/>
    </xf>
    <xf numFmtId="0" fontId="11" fillId="28" borderId="0" xfId="0" applyFont="1" applyFill="1" applyAlignment="1">
      <alignment horizontal="center"/>
    </xf>
    <xf numFmtId="0" fontId="15" fillId="9" borderId="0" xfId="0" applyFont="1" applyFill="1"/>
    <xf numFmtId="0" fontId="33" fillId="8" borderId="0" xfId="0" applyFont="1" applyFill="1"/>
    <xf numFmtId="0" fontId="18" fillId="8" borderId="0" xfId="0" applyFont="1" applyFill="1"/>
    <xf numFmtId="0" fontId="45" fillId="21" borderId="0" xfId="0" applyFont="1" applyFill="1"/>
    <xf numFmtId="0" fontId="46" fillId="3" borderId="0" xfId="0" applyFont="1" applyFill="1"/>
    <xf numFmtId="49" fontId="0" fillId="18" borderId="0" xfId="0" applyNumberFormat="1" applyFill="1" applyAlignment="1">
      <alignment horizontal="right"/>
    </xf>
    <xf numFmtId="49" fontId="0" fillId="19" borderId="0" xfId="0" applyNumberFormat="1" applyFill="1" applyAlignment="1">
      <alignment horizontal="right"/>
    </xf>
    <xf numFmtId="1" fontId="13" fillId="13" borderId="5" xfId="0" applyNumberFormat="1" applyFont="1" applyFill="1" applyBorder="1" applyAlignment="1">
      <alignment horizontal="right" vertical="center" wrapText="1"/>
    </xf>
    <xf numFmtId="1" fontId="14" fillId="3" borderId="0" xfId="0" applyNumberFormat="1" applyFont="1" applyFill="1" applyAlignment="1">
      <alignment horizontal="right"/>
    </xf>
    <xf numFmtId="49" fontId="38" fillId="10" borderId="1" xfId="0" applyNumberFormat="1" applyFont="1" applyFill="1" applyBorder="1" applyAlignment="1">
      <alignment horizontal="center"/>
    </xf>
    <xf numFmtId="0" fontId="40" fillId="10" borderId="6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0" fillId="10" borderId="4" xfId="0" applyFont="1" applyFill="1" applyBorder="1" applyAlignment="1">
      <alignment horizontal="center" vertical="center" wrapText="1"/>
    </xf>
    <xf numFmtId="0" fontId="40" fillId="8" borderId="4" xfId="0" applyFont="1" applyFill="1" applyBorder="1" applyAlignment="1">
      <alignment horizontal="center" vertical="center" wrapText="1"/>
    </xf>
    <xf numFmtId="0" fontId="13" fillId="30" borderId="6" xfId="0" applyFont="1" applyFill="1" applyBorder="1" applyAlignment="1">
      <alignment horizontal="right" vertical="center" wrapText="1"/>
    </xf>
    <xf numFmtId="0" fontId="16" fillId="8" borderId="0" xfId="0" applyFont="1" applyFill="1"/>
    <xf numFmtId="0" fontId="16" fillId="8" borderId="6" xfId="0" applyFont="1" applyFill="1" applyBorder="1" applyAlignment="1">
      <alignment horizontal="right" vertical="center" wrapText="1"/>
    </xf>
    <xf numFmtId="0" fontId="15" fillId="8" borderId="6" xfId="0" applyFont="1" applyFill="1" applyBorder="1" applyAlignment="1">
      <alignment horizontal="right" vertical="center" wrapText="1"/>
    </xf>
    <xf numFmtId="0" fontId="13" fillId="31" borderId="6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center"/>
    </xf>
    <xf numFmtId="0" fontId="11" fillId="7" borderId="0" xfId="0" applyFont="1" applyFill="1" applyAlignment="1">
      <alignment horizontal="right"/>
    </xf>
    <xf numFmtId="0" fontId="14" fillId="7" borderId="0" xfId="0" applyFont="1" applyFill="1"/>
    <xf numFmtId="0" fontId="14" fillId="7" borderId="0" xfId="0" applyFont="1" applyFill="1" applyAlignment="1">
      <alignment horizontal="center"/>
    </xf>
    <xf numFmtId="0" fontId="11" fillId="0" borderId="11" xfId="0" applyFont="1" applyBorder="1"/>
    <xf numFmtId="0" fontId="14" fillId="3" borderId="6" xfId="0" applyFont="1" applyFill="1" applyBorder="1" applyAlignment="1">
      <alignment horizontal="center"/>
    </xf>
    <xf numFmtId="0" fontId="11" fillId="7" borderId="0" xfId="0" applyFont="1" applyFill="1" applyAlignment="1">
      <alignment horizontal="right" vertical="center" wrapText="1"/>
    </xf>
    <xf numFmtId="0" fontId="14" fillId="7" borderId="0" xfId="0" applyFont="1" applyFill="1" applyAlignment="1">
      <alignment horizontal="right" vertical="center" wrapText="1"/>
    </xf>
    <xf numFmtId="0" fontId="52" fillId="7" borderId="0" xfId="0" applyFont="1" applyFill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horizontal="right" vertical="center" wrapText="1"/>
    </xf>
    <xf numFmtId="0" fontId="52" fillId="3" borderId="11" xfId="0" applyFont="1" applyFill="1" applyBorder="1" applyAlignment="1">
      <alignment horizontal="center" vertical="center" wrapText="1"/>
    </xf>
    <xf numFmtId="0" fontId="14" fillId="0" borderId="11" xfId="0" applyFont="1" applyBorder="1"/>
    <xf numFmtId="0" fontId="54" fillId="0" borderId="0" xfId="0" applyFont="1"/>
    <xf numFmtId="0" fontId="11" fillId="29" borderId="5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3" fillId="28" borderId="0" xfId="0" applyFont="1" applyFill="1" applyAlignment="1">
      <alignment horizontal="center" vertical="center" wrapText="1"/>
    </xf>
    <xf numFmtId="0" fontId="13" fillId="28" borderId="0" xfId="0" applyFont="1" applyFill="1" applyAlignment="1">
      <alignment horizontal="center"/>
    </xf>
    <xf numFmtId="0" fontId="14" fillId="3" borderId="11" xfId="0" applyFont="1" applyFill="1" applyBorder="1" applyAlignment="1">
      <alignment horizontal="center"/>
    </xf>
    <xf numFmtId="1" fontId="13" fillId="9" borderId="5" xfId="0" applyNumberFormat="1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vertical="center" wrapText="1"/>
    </xf>
    <xf numFmtId="0" fontId="14" fillId="9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38" fillId="10" borderId="10" xfId="0" applyFont="1" applyFill="1" applyBorder="1" applyAlignment="1">
      <alignment vertical="center" wrapText="1"/>
    </xf>
    <xf numFmtId="0" fontId="38" fillId="10" borderId="1" xfId="0" applyFont="1" applyFill="1" applyBorder="1" applyAlignment="1">
      <alignment horizontal="right"/>
    </xf>
    <xf numFmtId="0" fontId="38" fillId="10" borderId="4" xfId="0" applyFont="1" applyFill="1" applyBorder="1" applyAlignment="1">
      <alignment horizontal="right"/>
    </xf>
    <xf numFmtId="0" fontId="38" fillId="10" borderId="3" xfId="0" applyFont="1" applyFill="1" applyBorder="1" applyAlignment="1">
      <alignment horizontal="right"/>
    </xf>
    <xf numFmtId="0" fontId="38" fillId="8" borderId="10" xfId="0" applyFont="1" applyFill="1" applyBorder="1" applyAlignment="1">
      <alignment vertical="center" wrapText="1"/>
    </xf>
    <xf numFmtId="0" fontId="38" fillId="8" borderId="1" xfId="0" applyFont="1" applyFill="1" applyBorder="1" applyAlignment="1">
      <alignment horizontal="right"/>
    </xf>
    <xf numFmtId="0" fontId="38" fillId="8" borderId="4" xfId="0" applyFont="1" applyFill="1" applyBorder="1" applyAlignment="1">
      <alignment horizontal="right"/>
    </xf>
    <xf numFmtId="0" fontId="38" fillId="8" borderId="3" xfId="0" applyFont="1" applyFill="1" applyBorder="1" applyAlignment="1">
      <alignment horizontal="right"/>
    </xf>
    <xf numFmtId="0" fontId="38" fillId="8" borderId="1" xfId="0" applyFont="1" applyFill="1" applyBorder="1" applyAlignment="1">
      <alignment vertical="center" wrapText="1"/>
    </xf>
    <xf numFmtId="0" fontId="40" fillId="8" borderId="12" xfId="0" applyFont="1" applyFill="1" applyBorder="1"/>
    <xf numFmtId="0" fontId="38" fillId="10" borderId="1" xfId="0" applyFont="1" applyFill="1" applyBorder="1" applyAlignment="1">
      <alignment vertical="center" wrapText="1"/>
    </xf>
    <xf numFmtId="0" fontId="40" fillId="10" borderId="12" xfId="0" applyFont="1" applyFill="1" applyBorder="1"/>
    <xf numFmtId="49" fontId="40" fillId="8" borderId="7" xfId="0" applyNumberFormat="1" applyFont="1" applyFill="1" applyBorder="1" applyAlignment="1">
      <alignment horizontal="center"/>
    </xf>
    <xf numFmtId="17" fontId="38" fillId="8" borderId="10" xfId="0" applyNumberFormat="1" applyFont="1" applyFill="1" applyBorder="1" applyAlignment="1">
      <alignment vertical="center" wrapText="1"/>
    </xf>
    <xf numFmtId="49" fontId="42" fillId="8" borderId="7" xfId="0" applyNumberFormat="1" applyFont="1" applyFill="1" applyBorder="1" applyAlignment="1">
      <alignment horizontal="center"/>
    </xf>
    <xf numFmtId="49" fontId="43" fillId="10" borderId="7" xfId="0" applyNumberFormat="1" applyFont="1" applyFill="1" applyBorder="1" applyAlignment="1">
      <alignment horizontal="center"/>
    </xf>
    <xf numFmtId="0" fontId="9" fillId="0" borderId="0" xfId="0" applyFont="1"/>
    <xf numFmtId="0" fontId="38" fillId="30" borderId="5" xfId="0" applyFont="1" applyFill="1" applyBorder="1" applyAlignment="1">
      <alignment horizontal="left" vertical="center" wrapText="1"/>
    </xf>
    <xf numFmtId="0" fontId="38" fillId="30" borderId="6" xfId="0" applyFont="1" applyFill="1" applyBorder="1" applyAlignment="1">
      <alignment horizontal="left" vertical="center" wrapText="1"/>
    </xf>
    <xf numFmtId="0" fontId="38" fillId="30" borderId="6" xfId="0" applyFont="1" applyFill="1" applyBorder="1" applyAlignment="1">
      <alignment vertical="center" wrapText="1"/>
    </xf>
    <xf numFmtId="0" fontId="38" fillId="30" borderId="6" xfId="0" applyFont="1" applyFill="1" applyBorder="1" applyAlignment="1">
      <alignment horizontal="center" vertical="center" wrapText="1"/>
    </xf>
    <xf numFmtId="0" fontId="40" fillId="30" borderId="6" xfId="0" applyFont="1" applyFill="1" applyBorder="1" applyAlignment="1">
      <alignment horizontal="center" vertical="center" wrapText="1"/>
    </xf>
    <xf numFmtId="49" fontId="39" fillId="30" borderId="1" xfId="0" applyNumberFormat="1" applyFont="1" applyFill="1" applyBorder="1" applyAlignment="1">
      <alignment horizontal="center"/>
    </xf>
    <xf numFmtId="0" fontId="40" fillId="30" borderId="2" xfId="0" applyFont="1" applyFill="1" applyBorder="1"/>
    <xf numFmtId="0" fontId="40" fillId="30" borderId="1" xfId="0" applyFont="1" applyFill="1" applyBorder="1"/>
    <xf numFmtId="0" fontId="40" fillId="30" borderId="3" xfId="0" applyFont="1" applyFill="1" applyBorder="1"/>
    <xf numFmtId="49" fontId="41" fillId="30" borderId="1" xfId="0" applyNumberFormat="1" applyFont="1" applyFill="1" applyBorder="1" applyAlignment="1">
      <alignment horizontal="center"/>
    </xf>
    <xf numFmtId="0" fontId="36" fillId="10" borderId="1" xfId="0" applyFont="1" applyFill="1" applyBorder="1"/>
    <xf numFmtId="0" fontId="55" fillId="0" borderId="0" xfId="0" applyFont="1"/>
    <xf numFmtId="0" fontId="15" fillId="35" borderId="1" xfId="0" applyFont="1" applyFill="1" applyBorder="1" applyAlignment="1">
      <alignment horizontal="center"/>
    </xf>
    <xf numFmtId="0" fontId="15" fillId="35" borderId="2" xfId="0" applyFont="1" applyFill="1" applyBorder="1"/>
    <xf numFmtId="0" fontId="15" fillId="35" borderId="1" xfId="0" applyFont="1" applyFill="1" applyBorder="1"/>
    <xf numFmtId="0" fontId="15" fillId="35" borderId="3" xfId="0" applyFont="1" applyFill="1" applyBorder="1"/>
    <xf numFmtId="0" fontId="15" fillId="35" borderId="10" xfId="0" applyFont="1" applyFill="1" applyBorder="1" applyAlignment="1">
      <alignment vertical="center" wrapText="1"/>
    </xf>
    <xf numFmtId="0" fontId="15" fillId="35" borderId="5" xfId="0" applyFont="1" applyFill="1" applyBorder="1" applyAlignment="1">
      <alignment vertical="center" wrapText="1"/>
    </xf>
    <xf numFmtId="0" fontId="15" fillId="35" borderId="1" xfId="0" applyFont="1" applyFill="1" applyBorder="1" applyAlignment="1">
      <alignment vertical="center" wrapText="1"/>
    </xf>
    <xf numFmtId="0" fontId="15" fillId="35" borderId="1" xfId="0" applyFont="1" applyFill="1" applyBorder="1" applyAlignment="1">
      <alignment horizontal="center" vertical="center" wrapText="1"/>
    </xf>
    <xf numFmtId="0" fontId="15" fillId="35" borderId="6" xfId="0" applyFont="1" applyFill="1" applyBorder="1" applyAlignment="1">
      <alignment horizontal="center" vertical="center" wrapText="1"/>
    </xf>
    <xf numFmtId="0" fontId="16" fillId="35" borderId="7" xfId="0" applyFont="1" applyFill="1" applyBorder="1"/>
    <xf numFmtId="0" fontId="16" fillId="35" borderId="8" xfId="0" applyFont="1" applyFill="1" applyBorder="1"/>
    <xf numFmtId="0" fontId="16" fillId="35" borderId="1" xfId="0" applyFont="1" applyFill="1" applyBorder="1"/>
    <xf numFmtId="0" fontId="16" fillId="35" borderId="9" xfId="0" applyFont="1" applyFill="1" applyBorder="1"/>
    <xf numFmtId="0" fontId="15" fillId="35" borderId="1" xfId="0" applyFont="1" applyFill="1" applyBorder="1" applyAlignment="1">
      <alignment horizontal="right"/>
    </xf>
    <xf numFmtId="0" fontId="15" fillId="35" borderId="0" xfId="0" applyFont="1" applyFill="1"/>
    <xf numFmtId="0" fontId="56" fillId="8" borderId="10" xfId="0" applyFont="1" applyFill="1" applyBorder="1" applyAlignment="1">
      <alignment vertical="center" wrapText="1"/>
    </xf>
    <xf numFmtId="0" fontId="56" fillId="8" borderId="6" xfId="0" applyFont="1" applyFill="1" applyBorder="1" applyAlignment="1">
      <alignment vertical="center" wrapText="1"/>
    </xf>
    <xf numFmtId="0" fontId="56" fillId="8" borderId="6" xfId="0" applyFont="1" applyFill="1" applyBorder="1" applyAlignment="1">
      <alignment horizontal="center" vertical="center" wrapText="1"/>
    </xf>
    <xf numFmtId="0" fontId="57" fillId="8" borderId="8" xfId="0" applyFont="1" applyFill="1" applyBorder="1"/>
    <xf numFmtId="0" fontId="57" fillId="8" borderId="7" xfId="0" applyFont="1" applyFill="1" applyBorder="1"/>
    <xf numFmtId="0" fontId="57" fillId="8" borderId="9" xfId="0" applyFont="1" applyFill="1" applyBorder="1"/>
    <xf numFmtId="0" fontId="56" fillId="8" borderId="1" xfId="0" applyFont="1" applyFill="1" applyBorder="1" applyAlignment="1">
      <alignment horizontal="right"/>
    </xf>
    <xf numFmtId="0" fontId="56" fillId="8" borderId="4" xfId="0" applyFont="1" applyFill="1" applyBorder="1" applyAlignment="1">
      <alignment horizontal="right"/>
    </xf>
    <xf numFmtId="0" fontId="56" fillId="8" borderId="3" xfId="0" applyFont="1" applyFill="1" applyBorder="1" applyAlignment="1">
      <alignment horizontal="right"/>
    </xf>
    <xf numFmtId="49" fontId="58" fillId="8" borderId="7" xfId="0" applyNumberFormat="1" applyFont="1" applyFill="1" applyBorder="1"/>
    <xf numFmtId="49" fontId="58" fillId="8" borderId="7" xfId="0" applyNumberFormat="1" applyFont="1" applyFill="1" applyBorder="1" applyAlignment="1">
      <alignment horizontal="center"/>
    </xf>
    <xf numFmtId="0" fontId="56" fillId="10" borderId="10" xfId="0" applyFont="1" applyFill="1" applyBorder="1" applyAlignment="1">
      <alignment vertical="center" wrapText="1"/>
    </xf>
    <xf numFmtId="0" fontId="56" fillId="10" borderId="6" xfId="0" applyFont="1" applyFill="1" applyBorder="1" applyAlignment="1">
      <alignment vertical="center" wrapText="1"/>
    </xf>
    <xf numFmtId="0" fontId="56" fillId="10" borderId="6" xfId="0" applyFont="1" applyFill="1" applyBorder="1" applyAlignment="1">
      <alignment horizontal="center" vertical="center" wrapText="1"/>
    </xf>
    <xf numFmtId="49" fontId="58" fillId="10" borderId="7" xfId="0" applyNumberFormat="1" applyFont="1" applyFill="1" applyBorder="1" applyAlignment="1">
      <alignment horizontal="center"/>
    </xf>
    <xf numFmtId="0" fontId="57" fillId="10" borderId="8" xfId="0" applyFont="1" applyFill="1" applyBorder="1"/>
    <xf numFmtId="0" fontId="57" fillId="10" borderId="7" xfId="0" applyFont="1" applyFill="1" applyBorder="1"/>
    <xf numFmtId="0" fontId="57" fillId="10" borderId="9" xfId="0" applyFont="1" applyFill="1" applyBorder="1"/>
    <xf numFmtId="0" fontId="56" fillId="10" borderId="1" xfId="0" applyFont="1" applyFill="1" applyBorder="1" applyAlignment="1">
      <alignment horizontal="right"/>
    </xf>
    <xf numFmtId="0" fontId="56" fillId="10" borderId="4" xfId="0" applyFont="1" applyFill="1" applyBorder="1" applyAlignment="1">
      <alignment horizontal="right"/>
    </xf>
    <xf numFmtId="0" fontId="56" fillId="10" borderId="3" xfId="0" applyFont="1" applyFill="1" applyBorder="1" applyAlignment="1">
      <alignment horizontal="right"/>
    </xf>
    <xf numFmtId="0" fontId="56" fillId="10" borderId="5" xfId="0" applyFont="1" applyFill="1" applyBorder="1" applyAlignment="1">
      <alignment vertical="center" wrapText="1"/>
    </xf>
    <xf numFmtId="0" fontId="8" fillId="0" borderId="0" xfId="0" applyFont="1"/>
    <xf numFmtId="0" fontId="56" fillId="8" borderId="1" xfId="0" applyFont="1" applyFill="1" applyBorder="1" applyAlignment="1">
      <alignment vertical="center" wrapText="1"/>
    </xf>
    <xf numFmtId="0" fontId="56" fillId="8" borderId="5" xfId="0" applyFont="1" applyFill="1" applyBorder="1" applyAlignment="1">
      <alignment vertical="center" wrapText="1"/>
    </xf>
    <xf numFmtId="0" fontId="58" fillId="10" borderId="7" xfId="0" applyFont="1" applyFill="1" applyBorder="1" applyAlignment="1">
      <alignment horizontal="center"/>
    </xf>
    <xf numFmtId="0" fontId="60" fillId="8" borderId="7" xfId="0" applyFont="1" applyFill="1" applyBorder="1" applyAlignment="1">
      <alignment horizontal="center"/>
    </xf>
    <xf numFmtId="0" fontId="58" fillId="8" borderId="7" xfId="0" applyFont="1" applyFill="1" applyBorder="1" applyAlignment="1">
      <alignment horizontal="center"/>
    </xf>
    <xf numFmtId="49" fontId="59" fillId="10" borderId="7" xfId="0" applyNumberFormat="1" applyFont="1" applyFill="1" applyBorder="1" applyAlignment="1">
      <alignment horizontal="center"/>
    </xf>
    <xf numFmtId="0" fontId="7" fillId="0" borderId="0" xfId="0" applyFont="1"/>
    <xf numFmtId="0" fontId="11" fillId="8" borderId="0" xfId="0" applyFont="1" applyFill="1" applyAlignment="1">
      <alignment horizontal="center"/>
    </xf>
    <xf numFmtId="2" fontId="11" fillId="0" borderId="19" xfId="0" applyNumberFormat="1" applyFont="1" applyBorder="1" applyAlignment="1">
      <alignment horizontal="right"/>
    </xf>
    <xf numFmtId="2" fontId="11" fillId="0" borderId="23" xfId="0" applyNumberFormat="1" applyFont="1" applyBorder="1" applyAlignment="1">
      <alignment horizontal="right"/>
    </xf>
    <xf numFmtId="0" fontId="57" fillId="8" borderId="1" xfId="0" applyFont="1" applyFill="1" applyBorder="1"/>
    <xf numFmtId="1" fontId="0" fillId="36" borderId="0" xfId="0" applyNumberFormat="1" applyFill="1"/>
    <xf numFmtId="1" fontId="14" fillId="36" borderId="0" xfId="0" applyNumberFormat="1" applyFont="1" applyFill="1"/>
    <xf numFmtId="1" fontId="0" fillId="37" borderId="0" xfId="0" applyNumberFormat="1" applyFill="1"/>
    <xf numFmtId="1" fontId="13" fillId="38" borderId="5" xfId="0" applyNumberFormat="1" applyFont="1" applyFill="1" applyBorder="1" applyAlignment="1">
      <alignment horizontal="right" vertical="center" wrapText="1"/>
    </xf>
    <xf numFmtId="0" fontId="53" fillId="0" borderId="1" xfId="0" applyFont="1" applyBorder="1" applyAlignment="1">
      <alignment vertical="center" wrapText="1"/>
    </xf>
    <xf numFmtId="0" fontId="53" fillId="0" borderId="4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9" borderId="5" xfId="0" applyFont="1" applyFill="1" applyBorder="1" applyAlignment="1">
      <alignment horizontal="right" vertical="center" wrapText="1"/>
    </xf>
    <xf numFmtId="0" fontId="61" fillId="9" borderId="6" xfId="0" applyFont="1" applyFill="1" applyBorder="1" applyAlignment="1">
      <alignment vertical="center" wrapText="1"/>
    </xf>
    <xf numFmtId="0" fontId="53" fillId="9" borderId="6" xfId="0" applyFont="1" applyFill="1" applyBorder="1" applyAlignment="1">
      <alignment horizontal="right" vertical="center" wrapText="1"/>
    </xf>
    <xf numFmtId="0" fontId="61" fillId="9" borderId="6" xfId="0" applyFont="1" applyFill="1" applyBorder="1" applyAlignment="1">
      <alignment horizontal="right" vertical="center" wrapText="1"/>
    </xf>
    <xf numFmtId="0" fontId="61" fillId="13" borderId="5" xfId="0" applyFont="1" applyFill="1" applyBorder="1" applyAlignment="1">
      <alignment horizontal="right" vertical="center" wrapText="1"/>
    </xf>
    <xf numFmtId="0" fontId="61" fillId="13" borderId="6" xfId="0" applyFont="1" applyFill="1" applyBorder="1" applyAlignment="1">
      <alignment vertical="center" wrapText="1"/>
    </xf>
    <xf numFmtId="0" fontId="53" fillId="13" borderId="6" xfId="0" applyFont="1" applyFill="1" applyBorder="1" applyAlignment="1">
      <alignment horizontal="right" vertical="center" wrapText="1"/>
    </xf>
    <xf numFmtId="0" fontId="61" fillId="13" borderId="6" xfId="0" applyFont="1" applyFill="1" applyBorder="1" applyAlignment="1">
      <alignment horizontal="right" vertical="center" wrapText="1"/>
    </xf>
    <xf numFmtId="0" fontId="61" fillId="2" borderId="5" xfId="0" applyFont="1" applyFill="1" applyBorder="1" applyAlignment="1">
      <alignment horizontal="right" vertical="center" wrapText="1"/>
    </xf>
    <xf numFmtId="0" fontId="53" fillId="2" borderId="6" xfId="0" applyFont="1" applyFill="1" applyBorder="1" applyAlignment="1">
      <alignment vertical="center" wrapText="1"/>
    </xf>
    <xf numFmtId="0" fontId="61" fillId="2" borderId="6" xfId="0" applyFont="1" applyFill="1" applyBorder="1" applyAlignment="1">
      <alignment vertical="center" wrapText="1"/>
    </xf>
    <xf numFmtId="0" fontId="53" fillId="2" borderId="6" xfId="0" applyFont="1" applyFill="1" applyBorder="1" applyAlignment="1">
      <alignment horizontal="right" vertical="center" wrapText="1"/>
    </xf>
    <xf numFmtId="0" fontId="61" fillId="2" borderId="6" xfId="0" applyFont="1" applyFill="1" applyBorder="1" applyAlignment="1">
      <alignment horizontal="right" vertical="center" wrapText="1"/>
    </xf>
    <xf numFmtId="0" fontId="44" fillId="8" borderId="0" xfId="0" applyFont="1" applyFill="1" applyAlignment="1">
      <alignment horizontal="center" vertical="center" wrapText="1"/>
    </xf>
    <xf numFmtId="0" fontId="13" fillId="24" borderId="5" xfId="0" applyFont="1" applyFill="1" applyBorder="1" applyAlignment="1">
      <alignment horizontal="left" vertical="center" wrapText="1"/>
    </xf>
    <xf numFmtId="0" fontId="6" fillId="0" borderId="0" xfId="0" applyFont="1"/>
    <xf numFmtId="0" fontId="14" fillId="8" borderId="11" xfId="0" applyFont="1" applyFill="1" applyBorder="1" applyAlignment="1">
      <alignment horizontal="center" vertical="center" wrapText="1"/>
    </xf>
    <xf numFmtId="0" fontId="15" fillId="39" borderId="1" xfId="0" applyFont="1" applyFill="1" applyBorder="1" applyAlignment="1">
      <alignment horizontal="center"/>
    </xf>
    <xf numFmtId="0" fontId="15" fillId="39" borderId="2" xfId="0" applyFont="1" applyFill="1" applyBorder="1"/>
    <xf numFmtId="0" fontId="15" fillId="39" borderId="1" xfId="0" applyFont="1" applyFill="1" applyBorder="1"/>
    <xf numFmtId="0" fontId="15" fillId="39" borderId="3" xfId="0" applyFont="1" applyFill="1" applyBorder="1"/>
    <xf numFmtId="0" fontId="15" fillId="39" borderId="10" xfId="0" applyFont="1" applyFill="1" applyBorder="1" applyAlignment="1">
      <alignment vertical="center" wrapText="1"/>
    </xf>
    <xf numFmtId="0" fontId="15" fillId="39" borderId="5" xfId="0" applyFont="1" applyFill="1" applyBorder="1" applyAlignment="1">
      <alignment vertical="center" wrapText="1"/>
    </xf>
    <xf numFmtId="0" fontId="15" fillId="39" borderId="1" xfId="0" applyFont="1" applyFill="1" applyBorder="1" applyAlignment="1">
      <alignment vertical="center" wrapText="1"/>
    </xf>
    <xf numFmtId="0" fontId="15" fillId="39" borderId="1" xfId="0" applyFont="1" applyFill="1" applyBorder="1" applyAlignment="1">
      <alignment horizontal="center" vertical="center" wrapText="1"/>
    </xf>
    <xf numFmtId="0" fontId="15" fillId="39" borderId="6" xfId="0" applyFont="1" applyFill="1" applyBorder="1" applyAlignment="1">
      <alignment vertical="center" wrapText="1"/>
    </xf>
    <xf numFmtId="0" fontId="15" fillId="39" borderId="6" xfId="0" applyFont="1" applyFill="1" applyBorder="1" applyAlignment="1">
      <alignment horizontal="center" vertical="center" wrapText="1"/>
    </xf>
    <xf numFmtId="0" fontId="16" fillId="39" borderId="7" xfId="0" applyFont="1" applyFill="1" applyBorder="1"/>
    <xf numFmtId="0" fontId="16" fillId="39" borderId="8" xfId="0" applyFont="1" applyFill="1" applyBorder="1"/>
    <xf numFmtId="0" fontId="16" fillId="39" borderId="9" xfId="0" applyFont="1" applyFill="1" applyBorder="1"/>
    <xf numFmtId="0" fontId="15" fillId="39" borderId="1" xfId="0" applyFont="1" applyFill="1" applyBorder="1" applyAlignment="1">
      <alignment horizontal="right"/>
    </xf>
    <xf numFmtId="0" fontId="57" fillId="8" borderId="6" xfId="0" applyFont="1" applyFill="1" applyBorder="1" applyAlignment="1">
      <alignment horizontal="center" vertical="center" wrapText="1"/>
    </xf>
    <xf numFmtId="0" fontId="57" fillId="10" borderId="6" xfId="0" applyFont="1" applyFill="1" applyBorder="1" applyAlignment="1">
      <alignment horizontal="center" vertical="center" wrapText="1"/>
    </xf>
    <xf numFmtId="0" fontId="62" fillId="9" borderId="6" xfId="0" applyFont="1" applyFill="1" applyBorder="1" applyAlignment="1">
      <alignment vertical="center" wrapText="1"/>
    </xf>
    <xf numFmtId="0" fontId="13" fillId="36" borderId="0" xfId="0" applyFont="1" applyFill="1" applyAlignment="1">
      <alignment horizontal="center"/>
    </xf>
    <xf numFmtId="0" fontId="13" fillId="37" borderId="0" xfId="0" applyFont="1" applyFill="1" applyAlignment="1">
      <alignment horizontal="center"/>
    </xf>
    <xf numFmtId="0" fontId="14" fillId="37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0" fontId="14" fillId="36" borderId="0" xfId="0" applyFont="1" applyFill="1" applyAlignment="1">
      <alignment horizontal="center"/>
    </xf>
    <xf numFmtId="0" fontId="14" fillId="36" borderId="0" xfId="0" applyFont="1" applyFill="1"/>
    <xf numFmtId="0" fontId="14" fillId="37" borderId="0" xfId="0" applyFont="1" applyFill="1"/>
    <xf numFmtId="0" fontId="56" fillId="10" borderId="1" xfId="0" applyFont="1" applyFill="1" applyBorder="1" applyAlignment="1">
      <alignment vertical="center" wrapText="1"/>
    </xf>
    <xf numFmtId="0" fontId="5" fillId="0" borderId="0" xfId="0" applyFont="1"/>
    <xf numFmtId="0" fontId="57" fillId="10" borderId="1" xfId="0" applyFont="1" applyFill="1" applyBorder="1"/>
    <xf numFmtId="49" fontId="59" fillId="8" borderId="7" xfId="0" applyNumberFormat="1" applyFont="1" applyFill="1" applyBorder="1" applyAlignment="1">
      <alignment horizontal="center"/>
    </xf>
    <xf numFmtId="0" fontId="57" fillId="10" borderId="1" xfId="0" applyFont="1" applyFill="1" applyBorder="1" applyAlignment="1">
      <alignment horizontal="right"/>
    </xf>
    <xf numFmtId="0" fontId="57" fillId="10" borderId="4" xfId="0" applyFont="1" applyFill="1" applyBorder="1" applyAlignment="1">
      <alignment horizontal="right"/>
    </xf>
    <xf numFmtId="0" fontId="57" fillId="10" borderId="3" xfId="0" applyFont="1" applyFill="1" applyBorder="1" applyAlignment="1">
      <alignment horizontal="right"/>
    </xf>
    <xf numFmtId="0" fontId="57" fillId="8" borderId="1" xfId="0" applyFont="1" applyFill="1" applyBorder="1" applyAlignment="1">
      <alignment horizontal="right"/>
    </xf>
    <xf numFmtId="0" fontId="57" fillId="8" borderId="4" xfId="0" applyFont="1" applyFill="1" applyBorder="1" applyAlignment="1">
      <alignment horizontal="right"/>
    </xf>
    <xf numFmtId="0" fontId="57" fillId="8" borderId="3" xfId="0" applyFont="1" applyFill="1" applyBorder="1" applyAlignment="1">
      <alignment horizontal="right"/>
    </xf>
    <xf numFmtId="0" fontId="40" fillId="8" borderId="1" xfId="0" applyFont="1" applyFill="1" applyBorder="1" applyAlignment="1">
      <alignment horizontal="right"/>
    </xf>
    <xf numFmtId="0" fontId="40" fillId="8" borderId="4" xfId="0" applyFont="1" applyFill="1" applyBorder="1" applyAlignment="1">
      <alignment horizontal="right"/>
    </xf>
    <xf numFmtId="0" fontId="40" fillId="8" borderId="3" xfId="0" applyFont="1" applyFill="1" applyBorder="1" applyAlignment="1">
      <alignment horizontal="right"/>
    </xf>
    <xf numFmtId="0" fontId="40" fillId="10" borderId="1" xfId="0" applyFont="1" applyFill="1" applyBorder="1" applyAlignment="1">
      <alignment horizontal="right"/>
    </xf>
    <xf numFmtId="0" fontId="40" fillId="10" borderId="4" xfId="0" applyFont="1" applyFill="1" applyBorder="1" applyAlignment="1">
      <alignment horizontal="right"/>
    </xf>
    <xf numFmtId="0" fontId="40" fillId="10" borderId="3" xfId="0" applyFont="1" applyFill="1" applyBorder="1" applyAlignment="1">
      <alignment horizontal="right"/>
    </xf>
    <xf numFmtId="0" fontId="13" fillId="3" borderId="0" xfId="0" applyFont="1" applyFill="1" applyAlignment="1">
      <alignment horizontal="center"/>
    </xf>
    <xf numFmtId="0" fontId="14" fillId="28" borderId="0" xfId="0" applyFont="1" applyFill="1" applyAlignment="1">
      <alignment horizontal="center"/>
    </xf>
    <xf numFmtId="0" fontId="14" fillId="28" borderId="0" xfId="0" applyFont="1" applyFill="1" applyAlignment="1">
      <alignment horizontal="right"/>
    </xf>
    <xf numFmtId="49" fontId="40" fillId="10" borderId="7" xfId="0" applyNumberFormat="1" applyFont="1" applyFill="1" applyBorder="1" applyAlignment="1">
      <alignment horizontal="center"/>
    </xf>
    <xf numFmtId="0" fontId="38" fillId="10" borderId="5" xfId="0" applyFont="1" applyFill="1" applyBorder="1" applyAlignment="1">
      <alignment vertical="center" wrapText="1"/>
    </xf>
    <xf numFmtId="0" fontId="38" fillId="8" borderId="5" xfId="0" applyFont="1" applyFill="1" applyBorder="1" applyAlignment="1">
      <alignment vertical="center" wrapText="1"/>
    </xf>
    <xf numFmtId="49" fontId="63" fillId="10" borderId="7" xfId="0" applyNumberFormat="1" applyFont="1" applyFill="1" applyBorder="1" applyAlignment="1">
      <alignment horizontal="center"/>
    </xf>
    <xf numFmtId="0" fontId="4" fillId="0" borderId="0" xfId="0" applyFont="1"/>
    <xf numFmtId="0" fontId="62" fillId="3" borderId="6" xfId="0" applyFont="1" applyFill="1" applyBorder="1" applyAlignment="1">
      <alignment vertical="center" wrapText="1"/>
    </xf>
    <xf numFmtId="0" fontId="14" fillId="36" borderId="6" xfId="0" applyFont="1" applyFill="1" applyBorder="1" applyAlignment="1">
      <alignment horizontal="center" vertical="center" wrapText="1"/>
    </xf>
    <xf numFmtId="0" fontId="14" fillId="36" borderId="6" xfId="0" applyFont="1" applyFill="1" applyBorder="1" applyAlignment="1">
      <alignment vertical="center" wrapText="1"/>
    </xf>
    <xf numFmtId="0" fontId="14" fillId="37" borderId="6" xfId="0" applyFont="1" applyFill="1" applyBorder="1" applyAlignment="1">
      <alignment horizontal="center" vertical="center" wrapText="1"/>
    </xf>
    <xf numFmtId="0" fontId="14" fillId="37" borderId="6" xfId="0" applyFont="1" applyFill="1" applyBorder="1" applyAlignment="1">
      <alignment vertical="center" wrapText="1"/>
    </xf>
    <xf numFmtId="0" fontId="57" fillId="10" borderId="7" xfId="0" applyFont="1" applyFill="1" applyBorder="1" applyAlignment="1">
      <alignment horizontal="center"/>
    </xf>
    <xf numFmtId="49" fontId="56" fillId="8" borderId="7" xfId="0" applyNumberFormat="1" applyFont="1" applyFill="1" applyBorder="1" applyAlignment="1">
      <alignment horizontal="center"/>
    </xf>
    <xf numFmtId="0" fontId="59" fillId="8" borderId="7" xfId="0" applyFont="1" applyFill="1" applyBorder="1" applyAlignment="1">
      <alignment horizontal="center"/>
    </xf>
    <xf numFmtId="0" fontId="3" fillId="0" borderId="0" xfId="0" applyFont="1"/>
    <xf numFmtId="0" fontId="56" fillId="14" borderId="1" xfId="0" applyFont="1" applyFill="1" applyBorder="1" applyAlignment="1">
      <alignment horizontal="center" vertical="center" wrapText="1"/>
    </xf>
    <xf numFmtId="0" fontId="56" fillId="0" borderId="0" xfId="0" applyFont="1"/>
    <xf numFmtId="0" fontId="56" fillId="3" borderId="0" xfId="0" applyFont="1" applyFill="1"/>
    <xf numFmtId="0" fontId="56" fillId="14" borderId="1" xfId="0" applyFont="1" applyFill="1" applyBorder="1"/>
    <xf numFmtId="0" fontId="56" fillId="8" borderId="1" xfId="0" applyFont="1" applyFill="1" applyBorder="1" applyAlignment="1">
      <alignment horizontal="center" vertical="center" wrapText="1"/>
    </xf>
    <xf numFmtId="0" fontId="56" fillId="10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/>
    <xf numFmtId="0" fontId="0" fillId="0" borderId="7" xfId="0" applyBorder="1"/>
    <xf numFmtId="0" fontId="14" fillId="37" borderId="0" xfId="0" applyFont="1" applyFill="1" applyAlignment="1">
      <alignment horizontal="right" vertical="center" wrapText="1"/>
    </xf>
    <xf numFmtId="0" fontId="13" fillId="3" borderId="6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49" fillId="8" borderId="20" xfId="0" applyFont="1" applyFill="1" applyBorder="1" applyAlignment="1">
      <alignment horizontal="center" vertical="center" wrapText="1"/>
    </xf>
    <xf numFmtId="0" fontId="44" fillId="8" borderId="2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/>
    </xf>
    <xf numFmtId="0" fontId="13" fillId="32" borderId="4" xfId="0" applyFont="1" applyFill="1" applyBorder="1" applyAlignment="1">
      <alignment horizontal="center" vertical="center" wrapText="1"/>
    </xf>
    <xf numFmtId="49" fontId="43" fillId="8" borderId="5" xfId="0" applyNumberFormat="1" applyFont="1" applyFill="1" applyBorder="1" applyAlignment="1">
      <alignment horizontal="center"/>
    </xf>
    <xf numFmtId="0" fontId="14" fillId="29" borderId="6" xfId="0" applyFont="1" applyFill="1" applyBorder="1" applyAlignment="1">
      <alignment vertical="center" wrapText="1"/>
    </xf>
    <xf numFmtId="49" fontId="40" fillId="8" borderId="5" xfId="0" applyNumberFormat="1" applyFont="1" applyFill="1" applyBorder="1" applyAlignment="1">
      <alignment horizontal="center"/>
    </xf>
    <xf numFmtId="0" fontId="2" fillId="0" borderId="0" xfId="0" applyFont="1"/>
    <xf numFmtId="0" fontId="49" fillId="5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4" fillId="36" borderId="0" xfId="0" applyFont="1" applyFill="1" applyAlignment="1">
      <alignment horizontal="right" vertical="center" wrapText="1"/>
    </xf>
    <xf numFmtId="49" fontId="41" fillId="10" borderId="5" xfId="0" applyNumberFormat="1" applyFont="1" applyFill="1" applyBorder="1" applyAlignment="1">
      <alignment horizontal="center"/>
    </xf>
    <xf numFmtId="0" fontId="1" fillId="0" borderId="0" xfId="0" applyFont="1"/>
    <xf numFmtId="1" fontId="14" fillId="37" borderId="0" xfId="0" applyNumberFormat="1" applyFont="1" applyFill="1"/>
    <xf numFmtId="0" fontId="11" fillId="24" borderId="1" xfId="0" applyFont="1" applyFill="1" applyBorder="1"/>
    <xf numFmtId="0" fontId="13" fillId="24" borderId="1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13" borderId="2" xfId="0" applyFont="1" applyFill="1" applyBorder="1" applyAlignment="1">
      <alignment horizontal="center"/>
    </xf>
    <xf numFmtId="0" fontId="11" fillId="13" borderId="4" xfId="0" applyFont="1" applyFill="1" applyBorder="1" applyAlignment="1">
      <alignment horizontal="center"/>
    </xf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11" fillId="13" borderId="7" xfId="0" applyFont="1" applyFill="1" applyBorder="1" applyAlignment="1">
      <alignment horizontal="center"/>
    </xf>
    <xf numFmtId="0" fontId="11" fillId="13" borderId="5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50" fillId="25" borderId="2" xfId="0" applyFont="1" applyFill="1" applyBorder="1" applyAlignment="1">
      <alignment horizontal="center" vertical="center" wrapText="1"/>
    </xf>
    <xf numFmtId="0" fontId="50" fillId="25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0" fillId="0" borderId="0" xfId="0"/>
    <xf numFmtId="0" fontId="12" fillId="3" borderId="0" xfId="0" applyFont="1" applyFill="1" applyAlignment="1">
      <alignment vertical="center" wrapText="1"/>
    </xf>
    <xf numFmtId="0" fontId="12" fillId="0" borderId="0" xfId="0" applyFont="1"/>
    <xf numFmtId="0" fontId="15" fillId="2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4" fillId="3" borderId="0" xfId="0" applyFont="1" applyFill="1" applyAlignment="1">
      <alignment vertical="center" wrapText="1"/>
    </xf>
    <xf numFmtId="0" fontId="11" fillId="34" borderId="2" xfId="0" applyFont="1" applyFill="1" applyBorder="1" applyAlignment="1">
      <alignment horizontal="center"/>
    </xf>
    <xf numFmtId="0" fontId="11" fillId="34" borderId="3" xfId="0" applyFont="1" applyFill="1" applyBorder="1" applyAlignment="1">
      <alignment horizontal="center"/>
    </xf>
    <xf numFmtId="0" fontId="11" fillId="34" borderId="4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13" fillId="28" borderId="0" xfId="0" applyFont="1" applyFill="1" applyAlignment="1">
      <alignment horizontal="center"/>
    </xf>
    <xf numFmtId="0" fontId="11" fillId="28" borderId="0" xfId="0" applyFont="1" applyFill="1" applyAlignment="1">
      <alignment horizontal="center"/>
    </xf>
    <xf numFmtId="0" fontId="12" fillId="3" borderId="0" xfId="0" applyFont="1" applyFill="1"/>
    <xf numFmtId="0" fontId="13" fillId="33" borderId="2" xfId="0" applyFont="1" applyFill="1" applyBorder="1" applyAlignment="1">
      <alignment horizontal="center" vertical="center" wrapText="1"/>
    </xf>
    <xf numFmtId="0" fontId="13" fillId="33" borderId="4" xfId="0" applyFont="1" applyFill="1" applyBorder="1" applyAlignment="1">
      <alignment horizontal="center" vertical="center" wrapText="1"/>
    </xf>
    <xf numFmtId="0" fontId="13" fillId="3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31" borderId="3" xfId="0" applyFont="1" applyFill="1" applyBorder="1" applyAlignment="1">
      <alignment horizontal="center" vertical="center" wrapText="1"/>
    </xf>
    <xf numFmtId="0" fontId="11" fillId="31" borderId="4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3" fillId="28" borderId="0" xfId="0" applyFont="1" applyFill="1"/>
    <xf numFmtId="0" fontId="14" fillId="28" borderId="0" xfId="0" applyFont="1" applyFill="1"/>
    <xf numFmtId="0" fontId="0" fillId="18" borderId="0" xfId="0" applyFill="1" applyAlignment="1">
      <alignment horizontal="center"/>
    </xf>
    <xf numFmtId="0" fontId="56" fillId="14" borderId="2" xfId="0" applyFont="1" applyFill="1" applyBorder="1" applyAlignment="1">
      <alignment horizontal="left" vertical="center" wrapText="1"/>
    </xf>
    <xf numFmtId="0" fontId="56" fillId="14" borderId="3" xfId="0" applyFont="1" applyFill="1" applyBorder="1" applyAlignment="1">
      <alignment horizontal="left" vertical="center" wrapText="1"/>
    </xf>
    <xf numFmtId="0" fontId="56" fillId="14" borderId="4" xfId="0" applyFont="1" applyFill="1" applyBorder="1" applyAlignment="1">
      <alignment horizontal="left" vertical="center" wrapText="1"/>
    </xf>
    <xf numFmtId="0" fontId="15" fillId="15" borderId="2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15" borderId="2" xfId="0" applyFont="1" applyFill="1" applyBorder="1" applyAlignment="1">
      <alignment wrapText="1"/>
    </xf>
    <xf numFmtId="0" fontId="15" fillId="15" borderId="3" xfId="0" applyFont="1" applyFill="1" applyBorder="1" applyAlignment="1">
      <alignment wrapText="1"/>
    </xf>
    <xf numFmtId="0" fontId="15" fillId="15" borderId="4" xfId="0" applyFont="1" applyFill="1" applyBorder="1" applyAlignment="1">
      <alignment wrapText="1"/>
    </xf>
    <xf numFmtId="0" fontId="15" fillId="15" borderId="2" xfId="0" applyFont="1" applyFill="1" applyBorder="1" applyAlignment="1">
      <alignment horizontal="center" wrapText="1"/>
    </xf>
    <xf numFmtId="0" fontId="15" fillId="15" borderId="3" xfId="0" applyFont="1" applyFill="1" applyBorder="1" applyAlignment="1">
      <alignment horizontal="center" wrapText="1"/>
    </xf>
    <xf numFmtId="0" fontId="15" fillId="15" borderId="4" xfId="0" applyFont="1" applyFill="1" applyBorder="1" applyAlignment="1">
      <alignment horizont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center" vertical="center" wrapText="1"/>
    </xf>
    <xf numFmtId="0" fontId="35" fillId="14" borderId="2" xfId="0" applyFont="1" applyFill="1" applyBorder="1" applyAlignment="1">
      <alignment horizontal="left" vertical="center" wrapText="1"/>
    </xf>
    <xf numFmtId="0" fontId="35" fillId="14" borderId="3" xfId="0" applyFont="1" applyFill="1" applyBorder="1" applyAlignment="1">
      <alignment horizontal="left" vertical="center" wrapText="1"/>
    </xf>
    <xf numFmtId="0" fontId="35" fillId="14" borderId="4" xfId="0" applyFont="1" applyFill="1" applyBorder="1" applyAlignment="1">
      <alignment horizontal="left" vertical="center" wrapText="1"/>
    </xf>
    <xf numFmtId="0" fontId="15" fillId="14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8" fillId="8" borderId="2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left" wrapText="1"/>
    </xf>
    <xf numFmtId="0" fontId="18" fillId="8" borderId="3" xfId="0" applyFont="1" applyFill="1" applyBorder="1" applyAlignment="1">
      <alignment horizontal="left" wrapText="1"/>
    </xf>
    <xf numFmtId="0" fontId="18" fillId="8" borderId="4" xfId="0" applyFont="1" applyFill="1" applyBorder="1" applyAlignment="1">
      <alignment horizontal="left" wrapText="1"/>
    </xf>
    <xf numFmtId="0" fontId="18" fillId="8" borderId="2" xfId="0" applyFont="1" applyFill="1" applyBorder="1" applyAlignment="1">
      <alignment horizontal="center" wrapText="1"/>
    </xf>
    <xf numFmtId="0" fontId="18" fillId="8" borderId="3" xfId="0" applyFont="1" applyFill="1" applyBorder="1" applyAlignment="1">
      <alignment horizontal="center" wrapText="1"/>
    </xf>
    <xf numFmtId="0" fontId="18" fillId="8" borderId="4" xfId="0" applyFont="1" applyFill="1" applyBorder="1" applyAlignment="1">
      <alignment horizontal="center" wrapText="1"/>
    </xf>
    <xf numFmtId="0" fontId="18" fillId="8" borderId="3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8" fillId="8" borderId="1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5" fillId="14" borderId="3" xfId="0" applyFont="1" applyFill="1" applyBorder="1" applyAlignment="1">
      <alignment horizontal="left"/>
    </xf>
    <xf numFmtId="0" fontId="15" fillId="14" borderId="4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left" wrapText="1"/>
    </xf>
    <xf numFmtId="0" fontId="24" fillId="6" borderId="3" xfId="0" applyFont="1" applyFill="1" applyBorder="1" applyAlignment="1">
      <alignment horizontal="left" wrapText="1"/>
    </xf>
    <xf numFmtId="0" fontId="24" fillId="6" borderId="4" xfId="0" applyFont="1" applyFill="1" applyBorder="1" applyAlignment="1">
      <alignment horizontal="left" wrapText="1"/>
    </xf>
    <xf numFmtId="0" fontId="24" fillId="6" borderId="2" xfId="0" applyFont="1" applyFill="1" applyBorder="1" applyAlignment="1">
      <alignment horizontal="center" wrapText="1"/>
    </xf>
    <xf numFmtId="0" fontId="24" fillId="6" borderId="3" xfId="0" applyFont="1" applyFill="1" applyBorder="1" applyAlignment="1">
      <alignment horizontal="center" wrapText="1"/>
    </xf>
    <xf numFmtId="0" fontId="24" fillId="6" borderId="4" xfId="0" applyFont="1" applyFill="1" applyBorder="1" applyAlignment="1">
      <alignment horizontal="center" wrapText="1"/>
    </xf>
    <xf numFmtId="0" fontId="24" fillId="6" borderId="10" xfId="0" applyFont="1" applyFill="1" applyBorder="1" applyAlignment="1">
      <alignment horizontal="center"/>
    </xf>
    <xf numFmtId="0" fontId="15" fillId="6" borderId="0" xfId="0" applyFont="1" applyFill="1"/>
    <xf numFmtId="0" fontId="0" fillId="6" borderId="0" xfId="0" applyFill="1"/>
    <xf numFmtId="0" fontId="24" fillId="6" borderId="2" xfId="0" applyFont="1" applyFill="1" applyBorder="1" applyAlignment="1">
      <alignment horizont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5" fillId="21" borderId="2" xfId="0" applyFont="1" applyFill="1" applyBorder="1" applyAlignment="1">
      <alignment horizontal="center"/>
    </xf>
    <xf numFmtId="0" fontId="46" fillId="21" borderId="3" xfId="0" applyFont="1" applyFill="1" applyBorder="1" applyAlignment="1">
      <alignment horizontal="center"/>
    </xf>
    <xf numFmtId="0" fontId="46" fillId="21" borderId="4" xfId="0" applyFont="1" applyFill="1" applyBorder="1" applyAlignment="1">
      <alignment horizontal="center"/>
    </xf>
    <xf numFmtId="0" fontId="45" fillId="21" borderId="2" xfId="0" applyFont="1" applyFill="1" applyBorder="1" applyAlignment="1">
      <alignment wrapText="1"/>
    </xf>
    <xf numFmtId="0" fontId="45" fillId="21" borderId="3" xfId="0" applyFont="1" applyFill="1" applyBorder="1" applyAlignment="1">
      <alignment wrapText="1"/>
    </xf>
    <xf numFmtId="0" fontId="45" fillId="21" borderId="4" xfId="0" applyFont="1" applyFill="1" applyBorder="1" applyAlignment="1">
      <alignment wrapText="1"/>
    </xf>
    <xf numFmtId="0" fontId="45" fillId="21" borderId="2" xfId="0" applyFont="1" applyFill="1" applyBorder="1" applyAlignment="1">
      <alignment horizontal="center" wrapText="1"/>
    </xf>
    <xf numFmtId="0" fontId="45" fillId="21" borderId="3" xfId="0" applyFont="1" applyFill="1" applyBorder="1" applyAlignment="1">
      <alignment horizontal="center" wrapText="1"/>
    </xf>
    <xf numFmtId="0" fontId="45" fillId="21" borderId="4" xfId="0" applyFont="1" applyFill="1" applyBorder="1" applyAlignment="1">
      <alignment horizontal="center" wrapText="1"/>
    </xf>
    <xf numFmtId="0" fontId="45" fillId="21" borderId="2" xfId="0" applyFont="1" applyFill="1" applyBorder="1" applyAlignment="1">
      <alignment horizontal="center" vertical="center" wrapText="1"/>
    </xf>
    <xf numFmtId="0" fontId="45" fillId="21" borderId="3" xfId="0" applyFont="1" applyFill="1" applyBorder="1" applyAlignment="1">
      <alignment horizontal="center" vertical="center" wrapText="1"/>
    </xf>
    <xf numFmtId="0" fontId="45" fillId="21" borderId="4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0" fontId="15" fillId="9" borderId="2" xfId="0" applyFont="1" applyFill="1" applyBorder="1" applyAlignment="1">
      <alignment wrapText="1"/>
    </xf>
    <xf numFmtId="0" fontId="15" fillId="9" borderId="3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15" fillId="9" borderId="2" xfId="0" applyFont="1" applyFill="1" applyBorder="1" applyAlignment="1">
      <alignment horizontal="center" wrapText="1"/>
    </xf>
    <xf numFmtId="0" fontId="15" fillId="9" borderId="3" xfId="0" applyFont="1" applyFill="1" applyBorder="1" applyAlignment="1">
      <alignment horizontal="center" wrapText="1"/>
    </xf>
    <xf numFmtId="0" fontId="15" fillId="9" borderId="4" xfId="0" applyFont="1" applyFill="1" applyBorder="1" applyAlignment="1">
      <alignment horizont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39" borderId="2" xfId="0" applyFont="1" applyFill="1" applyBorder="1" applyAlignment="1">
      <alignment horizontal="center" vertical="center" wrapText="1"/>
    </xf>
    <xf numFmtId="0" fontId="15" fillId="39" borderId="4" xfId="0" applyFont="1" applyFill="1" applyBorder="1" applyAlignment="1">
      <alignment horizontal="center" vertical="center" wrapText="1"/>
    </xf>
    <xf numFmtId="0" fontId="15" fillId="39" borderId="3" xfId="0" applyFont="1" applyFill="1" applyBorder="1" applyAlignment="1">
      <alignment horizontal="center" vertical="center" wrapText="1"/>
    </xf>
    <xf numFmtId="0" fontId="15" fillId="39" borderId="0" xfId="0" applyFont="1" applyFill="1"/>
    <xf numFmtId="0" fontId="11" fillId="39" borderId="0" xfId="0" applyFont="1" applyFill="1"/>
    <xf numFmtId="0" fontId="15" fillId="39" borderId="2" xfId="0" applyFont="1" applyFill="1" applyBorder="1" applyAlignment="1">
      <alignment horizontal="center"/>
    </xf>
    <xf numFmtId="0" fontId="16" fillId="39" borderId="3" xfId="0" applyFont="1" applyFill="1" applyBorder="1" applyAlignment="1">
      <alignment horizontal="center"/>
    </xf>
    <xf numFmtId="0" fontId="16" fillId="39" borderId="4" xfId="0" applyFont="1" applyFill="1" applyBorder="1" applyAlignment="1">
      <alignment horizontal="center"/>
    </xf>
    <xf numFmtId="0" fontId="15" fillId="39" borderId="2" xfId="0" applyFont="1" applyFill="1" applyBorder="1" applyAlignment="1">
      <alignment wrapText="1"/>
    </xf>
    <xf numFmtId="0" fontId="15" fillId="39" borderId="3" xfId="0" applyFont="1" applyFill="1" applyBorder="1" applyAlignment="1">
      <alignment wrapText="1"/>
    </xf>
    <xf numFmtId="0" fontId="15" fillId="39" borderId="4" xfId="0" applyFont="1" applyFill="1" applyBorder="1" applyAlignment="1">
      <alignment wrapText="1"/>
    </xf>
    <xf numFmtId="0" fontId="15" fillId="39" borderId="2" xfId="0" applyFont="1" applyFill="1" applyBorder="1" applyAlignment="1">
      <alignment horizontal="center" wrapText="1"/>
    </xf>
    <xf numFmtId="0" fontId="15" fillId="39" borderId="3" xfId="0" applyFont="1" applyFill="1" applyBorder="1" applyAlignment="1">
      <alignment horizontal="center" wrapText="1"/>
    </xf>
    <xf numFmtId="0" fontId="15" fillId="39" borderId="4" xfId="0" applyFont="1" applyFill="1" applyBorder="1" applyAlignment="1">
      <alignment horizontal="center" wrapText="1"/>
    </xf>
    <xf numFmtId="0" fontId="15" fillId="17" borderId="2" xfId="0" applyFont="1" applyFill="1" applyBorder="1" applyAlignment="1">
      <alignment horizontal="center"/>
    </xf>
    <xf numFmtId="0" fontId="16" fillId="17" borderId="3" xfId="0" applyFont="1" applyFill="1" applyBorder="1" applyAlignment="1">
      <alignment horizontal="center"/>
    </xf>
    <xf numFmtId="0" fontId="16" fillId="17" borderId="4" xfId="0" applyFont="1" applyFill="1" applyBorder="1" applyAlignment="1">
      <alignment horizontal="center"/>
    </xf>
    <xf numFmtId="0" fontId="15" fillId="17" borderId="2" xfId="0" applyFont="1" applyFill="1" applyBorder="1" applyAlignment="1">
      <alignment horizontal="left" wrapText="1"/>
    </xf>
    <xf numFmtId="0" fontId="15" fillId="17" borderId="3" xfId="0" applyFont="1" applyFill="1" applyBorder="1" applyAlignment="1">
      <alignment horizontal="left" wrapText="1"/>
    </xf>
    <xf numFmtId="0" fontId="15" fillId="17" borderId="4" xfId="0" applyFont="1" applyFill="1" applyBorder="1" applyAlignment="1">
      <alignment horizontal="left" wrapText="1"/>
    </xf>
    <xf numFmtId="0" fontId="15" fillId="17" borderId="2" xfId="0" applyFont="1" applyFill="1" applyBorder="1" applyAlignment="1">
      <alignment horizontal="center" wrapText="1"/>
    </xf>
    <xf numFmtId="0" fontId="15" fillId="17" borderId="3" xfId="0" applyFont="1" applyFill="1" applyBorder="1" applyAlignment="1">
      <alignment horizontal="center" wrapText="1"/>
    </xf>
    <xf numFmtId="0" fontId="15" fillId="17" borderId="4" xfId="0" applyFont="1" applyFill="1" applyBorder="1" applyAlignment="1">
      <alignment horizont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17" borderId="3" xfId="0" applyFont="1" applyFill="1" applyBorder="1" applyAlignment="1">
      <alignment horizontal="center" vertical="center" wrapText="1"/>
    </xf>
    <xf numFmtId="0" fontId="15" fillId="17" borderId="4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/>
    </xf>
    <xf numFmtId="0" fontId="34" fillId="8" borderId="3" xfId="0" applyFont="1" applyFill="1" applyBorder="1" applyAlignment="1">
      <alignment horizontal="center"/>
    </xf>
    <xf numFmtId="0" fontId="34" fillId="8" borderId="4" xfId="0" applyFont="1" applyFill="1" applyBorder="1" applyAlignment="1">
      <alignment horizontal="center"/>
    </xf>
    <xf numFmtId="0" fontId="33" fillId="8" borderId="2" xfId="0" applyFont="1" applyFill="1" applyBorder="1" applyAlignment="1">
      <alignment horizontal="center" wrapText="1"/>
    </xf>
    <xf numFmtId="0" fontId="33" fillId="8" borderId="3" xfId="0" applyFont="1" applyFill="1" applyBorder="1" applyAlignment="1">
      <alignment horizontal="center" wrapText="1"/>
    </xf>
    <xf numFmtId="0" fontId="33" fillId="8" borderId="4" xfId="0" applyFont="1" applyFill="1" applyBorder="1" applyAlignment="1">
      <alignment horizontal="center" wrapText="1"/>
    </xf>
    <xf numFmtId="0" fontId="33" fillId="8" borderId="2" xfId="0" applyFont="1" applyFill="1" applyBorder="1" applyAlignment="1">
      <alignment horizontal="left" wrapText="1"/>
    </xf>
    <xf numFmtId="0" fontId="33" fillId="8" borderId="3" xfId="0" applyFont="1" applyFill="1" applyBorder="1" applyAlignment="1">
      <alignment horizontal="left" wrapText="1"/>
    </xf>
    <xf numFmtId="0" fontId="33" fillId="8" borderId="4" xfId="0" applyFont="1" applyFill="1" applyBorder="1" applyAlignment="1">
      <alignment horizontal="left" wrapText="1"/>
    </xf>
    <xf numFmtId="0" fontId="33" fillId="8" borderId="2" xfId="0" applyFont="1" applyFill="1" applyBorder="1" applyAlignment="1">
      <alignment horizontal="center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15" fillId="35" borderId="2" xfId="0" applyFont="1" applyFill="1" applyBorder="1" applyAlignment="1">
      <alignment horizontal="center"/>
    </xf>
    <xf numFmtId="0" fontId="16" fillId="35" borderId="3" xfId="0" applyFont="1" applyFill="1" applyBorder="1" applyAlignment="1">
      <alignment horizontal="center"/>
    </xf>
    <xf numFmtId="0" fontId="16" fillId="35" borderId="4" xfId="0" applyFont="1" applyFill="1" applyBorder="1" applyAlignment="1">
      <alignment horizontal="center"/>
    </xf>
    <xf numFmtId="0" fontId="15" fillId="35" borderId="2" xfId="0" applyFont="1" applyFill="1" applyBorder="1" applyAlignment="1">
      <alignment wrapText="1"/>
    </xf>
    <xf numFmtId="0" fontId="15" fillId="35" borderId="3" xfId="0" applyFont="1" applyFill="1" applyBorder="1" applyAlignment="1">
      <alignment wrapText="1"/>
    </xf>
    <xf numFmtId="0" fontId="15" fillId="35" borderId="4" xfId="0" applyFont="1" applyFill="1" applyBorder="1" applyAlignment="1">
      <alignment wrapText="1"/>
    </xf>
    <xf numFmtId="0" fontId="15" fillId="35" borderId="2" xfId="0" applyFont="1" applyFill="1" applyBorder="1" applyAlignment="1">
      <alignment horizontal="center" wrapText="1"/>
    </xf>
    <xf numFmtId="0" fontId="15" fillId="35" borderId="3" xfId="0" applyFont="1" applyFill="1" applyBorder="1" applyAlignment="1">
      <alignment horizontal="center" wrapText="1"/>
    </xf>
    <xf numFmtId="0" fontId="15" fillId="35" borderId="4" xfId="0" applyFont="1" applyFill="1" applyBorder="1" applyAlignment="1">
      <alignment horizontal="center" wrapText="1"/>
    </xf>
    <xf numFmtId="0" fontId="15" fillId="35" borderId="2" xfId="0" applyFont="1" applyFill="1" applyBorder="1" applyAlignment="1">
      <alignment horizontal="center" vertical="center" wrapText="1"/>
    </xf>
    <xf numFmtId="0" fontId="15" fillId="35" borderId="3" xfId="0" applyFont="1" applyFill="1" applyBorder="1" applyAlignment="1">
      <alignment horizontal="center" vertical="center" wrapText="1"/>
    </xf>
    <xf numFmtId="0" fontId="15" fillId="35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right" vertical="center" wrapText="1"/>
    </xf>
    <xf numFmtId="1" fontId="13" fillId="40" borderId="5" xfId="0" applyNumberFormat="1" applyFont="1" applyFill="1" applyBorder="1" applyAlignment="1">
      <alignment horizontal="right" vertical="center" wrapText="1"/>
    </xf>
    <xf numFmtId="0" fontId="62" fillId="13" borderId="6" xfId="0" applyFont="1" applyFill="1" applyBorder="1" applyAlignment="1">
      <alignment vertical="center" wrapText="1"/>
    </xf>
    <xf numFmtId="0" fontId="13" fillId="40" borderId="6" xfId="0" applyFont="1" applyFill="1" applyBorder="1" applyAlignment="1">
      <alignment vertical="center" wrapText="1"/>
    </xf>
    <xf numFmtId="0" fontId="14" fillId="40" borderId="6" xfId="0" applyFont="1" applyFill="1" applyBorder="1" applyAlignment="1">
      <alignment horizontal="right" vertical="center" wrapText="1"/>
    </xf>
    <xf numFmtId="0" fontId="13" fillId="40" borderId="6" xfId="0" applyFont="1" applyFill="1" applyBorder="1" applyAlignment="1">
      <alignment horizontal="right" vertical="center" wrapText="1"/>
    </xf>
    <xf numFmtId="1" fontId="11" fillId="3" borderId="5" xfId="0" applyNumberFormat="1" applyFont="1" applyFill="1" applyBorder="1" applyAlignment="1">
      <alignment horizontal="right" vertical="center" wrapText="1"/>
    </xf>
    <xf numFmtId="1" fontId="13" fillId="3" borderId="6" xfId="0" applyNumberFormat="1" applyFont="1" applyFill="1" applyBorder="1" applyAlignment="1">
      <alignment horizontal="left" vertical="center" wrapText="1"/>
    </xf>
    <xf numFmtId="1" fontId="14" fillId="3" borderId="6" xfId="0" applyNumberFormat="1" applyFont="1" applyFill="1" applyBorder="1" applyAlignment="1">
      <alignment horizontal="right" vertical="center" wrapText="1"/>
    </xf>
    <xf numFmtId="1" fontId="13" fillId="3" borderId="6" xfId="0" applyNumberFormat="1" applyFont="1" applyFill="1" applyBorder="1" applyAlignment="1">
      <alignment horizontal="right" vertical="center" wrapText="1"/>
    </xf>
    <xf numFmtId="0" fontId="4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 wrapText="1"/>
    </xf>
  </cellXfs>
  <cellStyles count="22">
    <cellStyle name="Explanatory Text" xfId="21" builtinId="5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2" defaultPivotStyle="PivotStyleLight16"/>
  <colors>
    <mruColors>
      <color rgb="FFFF0066"/>
      <color rgb="FF762949"/>
      <color rgb="FFA6A6A6"/>
      <color rgb="FFE23518"/>
      <color rgb="FF990099"/>
      <color rgb="FFCC0099"/>
      <color rgb="FF133926"/>
      <color rgb="FF77BFD3"/>
      <color rgb="FF16365C"/>
      <color rgb="FFD43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11</xdr:col>
      <xdr:colOff>203547</xdr:colOff>
      <xdr:row>7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076322-F870-404E-A7D4-5FA3A0BF1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1019" y="0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384702</xdr:colOff>
      <xdr:row>26</xdr:row>
      <xdr:rowOff>165207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B7EEDA-7849-4460-9E72-B47AE1331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74332"/>
          <a:ext cx="1445751" cy="1433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2</xdr:col>
      <xdr:colOff>376076</xdr:colOff>
      <xdr:row>42</xdr:row>
      <xdr:rowOff>163293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5766D-E80C-4BC8-B70C-2818BCC2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3653"/>
          <a:ext cx="1445751" cy="14313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238054</xdr:colOff>
      <xdr:row>7</xdr:row>
      <xdr:rowOff>77984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E391F8-9DF9-4CED-A6E9-FF463307A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3547" y="0"/>
          <a:ext cx="1445752" cy="14198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2</xdr:col>
      <xdr:colOff>376076</xdr:colOff>
      <xdr:row>40</xdr:row>
      <xdr:rowOff>165211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BE0D4-A219-47CE-99A2-FE4D8BFEA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3653"/>
          <a:ext cx="1445751" cy="14313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238054</xdr:colOff>
      <xdr:row>7</xdr:row>
      <xdr:rowOff>77984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F90D2F-C02E-43F5-8BDA-064451246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6076" y="0"/>
          <a:ext cx="1445752" cy="14198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2</xdr:col>
      <xdr:colOff>376076</xdr:colOff>
      <xdr:row>43</xdr:row>
      <xdr:rowOff>163293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651D0B-188F-42A5-B0C6-2ED5E6037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3653"/>
          <a:ext cx="1445751" cy="14313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199714</xdr:colOff>
      <xdr:row>7</xdr:row>
      <xdr:rowOff>77984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D4EB8D-BBA7-4648-958F-B0DCC6BAA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1887" y="0"/>
          <a:ext cx="1445752" cy="14198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376076</xdr:colOff>
      <xdr:row>39</xdr:row>
      <xdr:rowOff>164250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C5630-4620-44E2-A155-09E38672D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3653"/>
          <a:ext cx="1445751" cy="14313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199715</xdr:colOff>
      <xdr:row>7</xdr:row>
      <xdr:rowOff>77984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E4FF5F-F49A-4043-8A10-C0BBB1ABA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9434" y="0"/>
          <a:ext cx="1445752" cy="14198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2</xdr:col>
      <xdr:colOff>376076</xdr:colOff>
      <xdr:row>41</xdr:row>
      <xdr:rowOff>102909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5F5506-639F-4E04-9AC3-A70AC6A27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3653"/>
          <a:ext cx="1445751" cy="14313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199715</xdr:colOff>
      <xdr:row>7</xdr:row>
      <xdr:rowOff>77984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9A1C8A-B681-476C-BA60-6813720D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05208" y="0"/>
          <a:ext cx="1445752" cy="14198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2</xdr:col>
      <xdr:colOff>376076</xdr:colOff>
      <xdr:row>41</xdr:row>
      <xdr:rowOff>163294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6319D2-A016-4BF7-961C-4EFEE18B3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3653"/>
          <a:ext cx="1445751" cy="14313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199714</xdr:colOff>
      <xdr:row>7</xdr:row>
      <xdr:rowOff>77984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191937-8992-43F7-939E-4659C28D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0792" y="0"/>
          <a:ext cx="1445752" cy="14198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2</xdr:col>
      <xdr:colOff>376076</xdr:colOff>
      <xdr:row>43</xdr:row>
      <xdr:rowOff>164253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EDC082-0CDF-49C8-A716-A1D5F6115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3653"/>
          <a:ext cx="1445751" cy="1431376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238054</xdr:colOff>
      <xdr:row>7</xdr:row>
      <xdr:rowOff>77984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41D464-509C-4ADA-A12C-F5FE2C834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2378" y="0"/>
          <a:ext cx="1445752" cy="14198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9585</xdr:colOff>
      <xdr:row>32</xdr:row>
      <xdr:rowOff>9584</xdr:rowOff>
    </xdr:from>
    <xdr:to>
      <xdr:col>2</xdr:col>
      <xdr:colOff>385661</xdr:colOff>
      <xdr:row>39</xdr:row>
      <xdr:rowOff>173834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530335-5E22-479C-A826-A6710310E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5" y="6345206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199714</xdr:colOff>
      <xdr:row>7</xdr:row>
      <xdr:rowOff>77984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1575BE-5E17-45D2-AE9D-C787864B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3962" y="0"/>
          <a:ext cx="1445752" cy="14198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2</xdr:col>
      <xdr:colOff>203547</xdr:colOff>
      <xdr:row>24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D07FF-F73A-4A27-9A98-D96ACF262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74332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203548</xdr:colOff>
      <xdr:row>7</xdr:row>
      <xdr:rowOff>165207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E6EDA-6B30-408D-A091-D8C5C6B9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3223" y="0"/>
          <a:ext cx="1445751" cy="1433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2</xdr:col>
      <xdr:colOff>203547</xdr:colOff>
      <xdr:row>37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B62564-F834-454C-B313-21AC6113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5509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203548</xdr:colOff>
      <xdr:row>7</xdr:row>
      <xdr:rowOff>113448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7BDB3E-EF40-4E9C-9CA6-D6C0C15D1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3223" y="0"/>
          <a:ext cx="1445751" cy="1433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8627</xdr:colOff>
      <xdr:row>37</xdr:row>
      <xdr:rowOff>198408</xdr:rowOff>
    </xdr:from>
    <xdr:to>
      <xdr:col>2</xdr:col>
      <xdr:colOff>255306</xdr:colOff>
      <xdr:row>45</xdr:row>
      <xdr:rowOff>156581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B6E8D3-60FC-423C-8DFB-8D8F8A57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7" y="7651631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17</xdr:col>
      <xdr:colOff>8626</xdr:colOff>
      <xdr:row>0</xdr:row>
      <xdr:rowOff>0</xdr:rowOff>
    </xdr:from>
    <xdr:to>
      <xdr:col>19</xdr:col>
      <xdr:colOff>212173</xdr:colOff>
      <xdr:row>7</xdr:row>
      <xdr:rowOff>104822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B7B232-6ADE-498F-B2F4-A86286D3A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7539" y="0"/>
          <a:ext cx="1445751" cy="1433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17</xdr:col>
      <xdr:colOff>255306</xdr:colOff>
      <xdr:row>7</xdr:row>
      <xdr:rowOff>122075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F7F45D-BFC6-4523-8EC4-44332FD05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0528" y="0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367449</xdr:colOff>
      <xdr:row>62</xdr:row>
      <xdr:rowOff>165207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D1C862-094A-4AB0-B4F4-8239DBA57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81426"/>
          <a:ext cx="1445751" cy="14332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749392</xdr:colOff>
      <xdr:row>41</xdr:row>
      <xdr:rowOff>145722</xdr:rowOff>
    </xdr:from>
    <xdr:ext cx="302284" cy="298150"/>
    <xdr:sp macro="" textlink="">
      <xdr:nvSpPr>
        <xdr:cNvPr id="6254" name="AutoShape 9" descr="Bath Rugby">
          <a:extLst>
            <a:ext uri="{FF2B5EF4-FFF2-40B4-BE49-F238E27FC236}">
              <a16:creationId xmlns:a16="http://schemas.microsoft.com/office/drawing/2014/main" id="{91B17862-6F9A-48F6-8E59-06061A9D9E84}"/>
            </a:ext>
          </a:extLst>
        </xdr:cNvPr>
        <xdr:cNvSpPr>
          <a:spLocks noChangeAspect="1" noChangeArrowheads="1"/>
        </xdr:cNvSpPr>
      </xdr:nvSpPr>
      <xdr:spPr bwMode="auto">
        <a:xfrm rot="16637754">
          <a:off x="2515081" y="8003277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674779</xdr:colOff>
      <xdr:row>53</xdr:row>
      <xdr:rowOff>149404</xdr:rowOff>
    </xdr:from>
    <xdr:ext cx="298150" cy="302284"/>
    <xdr:sp macro="" textlink="">
      <xdr:nvSpPr>
        <xdr:cNvPr id="2" name="AutoShape 9" descr="Bath Rugby">
          <a:extLst>
            <a:ext uri="{FF2B5EF4-FFF2-40B4-BE49-F238E27FC236}">
              <a16:creationId xmlns:a16="http://schemas.microsoft.com/office/drawing/2014/main" id="{C4D4CD27-1900-4A60-8C6D-6674D593434B}"/>
            </a:ext>
          </a:extLst>
        </xdr:cNvPr>
        <xdr:cNvSpPr>
          <a:spLocks noChangeAspect="1" noChangeArrowheads="1"/>
        </xdr:cNvSpPr>
      </xdr:nvSpPr>
      <xdr:spPr bwMode="auto">
        <a:xfrm>
          <a:off x="3918311" y="10018023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112502</xdr:rowOff>
    </xdr:to>
    <xdr:sp macro="" textlink="">
      <xdr:nvSpPr>
        <xdr:cNvPr id="6146" name="AutoShape 2" descr="Exeter Chiefs">
          <a:extLst>
            <a:ext uri="{FF2B5EF4-FFF2-40B4-BE49-F238E27FC236}">
              <a16:creationId xmlns:a16="http://schemas.microsoft.com/office/drawing/2014/main" id="{D6357845-8607-40C3-96BD-00B8B4073988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6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112503</xdr:rowOff>
    </xdr:to>
    <xdr:sp macro="" textlink="">
      <xdr:nvSpPr>
        <xdr:cNvPr id="6147" name="AutoShape 3" descr="Harlequins">
          <a:extLst>
            <a:ext uri="{FF2B5EF4-FFF2-40B4-BE49-F238E27FC236}">
              <a16:creationId xmlns:a16="http://schemas.microsoft.com/office/drawing/2014/main" id="{26B84A3C-C4C9-4349-B9CE-2D38AB1334E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82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6</xdr:row>
      <xdr:rowOff>112503</xdr:rowOff>
    </xdr:to>
    <xdr:sp macro="" textlink="">
      <xdr:nvSpPr>
        <xdr:cNvPr id="6148" name="AutoShape 4" descr="Sale Sharks">
          <a:extLst>
            <a:ext uri="{FF2B5EF4-FFF2-40B4-BE49-F238E27FC236}">
              <a16:creationId xmlns:a16="http://schemas.microsoft.com/office/drawing/2014/main" id="{56D0B93A-02F5-4211-A0A3-2C3AF5A48C85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0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7</xdr:row>
      <xdr:rowOff>112503</xdr:rowOff>
    </xdr:to>
    <xdr:sp macro="" textlink="">
      <xdr:nvSpPr>
        <xdr:cNvPr id="6149" name="AutoShape 5" descr="Northampton Saints">
          <a:extLst>
            <a:ext uri="{FF2B5EF4-FFF2-40B4-BE49-F238E27FC236}">
              <a16:creationId xmlns:a16="http://schemas.microsoft.com/office/drawing/2014/main" id="{2D7E58DF-011E-4AFC-B840-8EAA034AE118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24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8</xdr:row>
      <xdr:rowOff>112503</xdr:rowOff>
    </xdr:to>
    <xdr:sp macro="" textlink="">
      <xdr:nvSpPr>
        <xdr:cNvPr id="6150" name="AutoShape 6" descr="London Irish">
          <a:extLst>
            <a:ext uri="{FF2B5EF4-FFF2-40B4-BE49-F238E27FC236}">
              <a16:creationId xmlns:a16="http://schemas.microsoft.com/office/drawing/2014/main" id="{B2C17D03-F953-4AA2-AAD1-67131172BE92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4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9</xdr:row>
      <xdr:rowOff>112503</xdr:rowOff>
    </xdr:to>
    <xdr:sp macro="" textlink="">
      <xdr:nvSpPr>
        <xdr:cNvPr id="6151" name="AutoShape 7" descr="Leicester Tigers">
          <a:extLst>
            <a:ext uri="{FF2B5EF4-FFF2-40B4-BE49-F238E27FC236}">
              <a16:creationId xmlns:a16="http://schemas.microsoft.com/office/drawing/2014/main" id="{D41F3B3C-67F3-4A2C-A6A3-E5F276ED9708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6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10</xdr:row>
      <xdr:rowOff>112503</xdr:rowOff>
    </xdr:to>
    <xdr:sp macro="" textlink="">
      <xdr:nvSpPr>
        <xdr:cNvPr id="6152" name="AutoShape 8" descr="Newcastle Falcons">
          <a:extLst>
            <a:ext uri="{FF2B5EF4-FFF2-40B4-BE49-F238E27FC236}">
              <a16:creationId xmlns:a16="http://schemas.microsoft.com/office/drawing/2014/main" id="{098F4DD9-DF4D-4A37-A17C-1889BFA8F12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87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609600</xdr:colOff>
      <xdr:row>10</xdr:row>
      <xdr:rowOff>19050</xdr:rowOff>
    </xdr:from>
    <xdr:to>
      <xdr:col>9</xdr:col>
      <xdr:colOff>295275</xdr:colOff>
      <xdr:row>11</xdr:row>
      <xdr:rowOff>131553</xdr:rowOff>
    </xdr:to>
    <xdr:sp macro="" textlink="">
      <xdr:nvSpPr>
        <xdr:cNvPr id="6153" name="AutoShape 9" descr="Bath Rugby">
          <a:extLst>
            <a:ext uri="{FF2B5EF4-FFF2-40B4-BE49-F238E27FC236}">
              <a16:creationId xmlns:a16="http://schemas.microsoft.com/office/drawing/2014/main" id="{223FCA5A-650E-4F14-BD81-53FD93499B45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112502</xdr:rowOff>
    </xdr:to>
    <xdr:sp macro="" textlink="">
      <xdr:nvSpPr>
        <xdr:cNvPr id="6154" name="AutoShape 10" descr="Wasps">
          <a:extLst>
            <a:ext uri="{FF2B5EF4-FFF2-40B4-BE49-F238E27FC236}">
              <a16:creationId xmlns:a16="http://schemas.microsoft.com/office/drawing/2014/main" id="{C214C6A2-2664-47E3-8F56-C8C44EE6E6C2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229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112502</xdr:rowOff>
    </xdr:to>
    <xdr:sp macro="" textlink="">
      <xdr:nvSpPr>
        <xdr:cNvPr id="6155" name="AutoShape 11" descr="Gloucester Rugby">
          <a:extLst>
            <a:ext uri="{FF2B5EF4-FFF2-40B4-BE49-F238E27FC236}">
              <a16:creationId xmlns:a16="http://schemas.microsoft.com/office/drawing/2014/main" id="{50DE74CF-6CDD-4E41-9BD7-A10BE364664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250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115677</xdr:rowOff>
    </xdr:to>
    <xdr:sp macro="" textlink="">
      <xdr:nvSpPr>
        <xdr:cNvPr id="6156" name="AutoShape 12" descr="Worcester Warriors">
          <a:extLst>
            <a:ext uri="{FF2B5EF4-FFF2-40B4-BE49-F238E27FC236}">
              <a16:creationId xmlns:a16="http://schemas.microsoft.com/office/drawing/2014/main" id="{7CEF08F7-DE73-4B8A-8F49-43980B5583A3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271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112502</xdr:rowOff>
    </xdr:to>
    <xdr:sp macro="" textlink="">
      <xdr:nvSpPr>
        <xdr:cNvPr id="3" name="AutoShape 2" descr="Exeter Chiefs">
          <a:extLst>
            <a:ext uri="{FF2B5EF4-FFF2-40B4-BE49-F238E27FC236}">
              <a16:creationId xmlns:a16="http://schemas.microsoft.com/office/drawing/2014/main" id="{9518AA8B-2EC3-437E-830B-34D650731EE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5</xdr:row>
      <xdr:rowOff>112503</xdr:rowOff>
    </xdr:to>
    <xdr:sp macro="" textlink="">
      <xdr:nvSpPr>
        <xdr:cNvPr id="4" name="AutoShape 3" descr="Harlequins">
          <a:extLst>
            <a:ext uri="{FF2B5EF4-FFF2-40B4-BE49-F238E27FC236}">
              <a16:creationId xmlns:a16="http://schemas.microsoft.com/office/drawing/2014/main" id="{E1D8A490-1A42-44A2-8828-9FAA4BC43D5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6</xdr:row>
      <xdr:rowOff>112503</xdr:rowOff>
    </xdr:to>
    <xdr:sp macro="" textlink="">
      <xdr:nvSpPr>
        <xdr:cNvPr id="5" name="AutoShape 4" descr="Sale Sharks">
          <a:extLst>
            <a:ext uri="{FF2B5EF4-FFF2-40B4-BE49-F238E27FC236}">
              <a16:creationId xmlns:a16="http://schemas.microsoft.com/office/drawing/2014/main" id="{F2F2E2E9-41FE-4E0E-9385-734C2EF06FA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304800</xdr:colOff>
      <xdr:row>7</xdr:row>
      <xdr:rowOff>112503</xdr:rowOff>
    </xdr:to>
    <xdr:sp macro="" textlink="">
      <xdr:nvSpPr>
        <xdr:cNvPr id="6" name="AutoShape 5" descr="Northampton Saints">
          <a:extLst>
            <a:ext uri="{FF2B5EF4-FFF2-40B4-BE49-F238E27FC236}">
              <a16:creationId xmlns:a16="http://schemas.microsoft.com/office/drawing/2014/main" id="{2926ECEE-BF73-45CA-AA48-8BB61AF2051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8</xdr:row>
      <xdr:rowOff>112503</xdr:rowOff>
    </xdr:to>
    <xdr:sp macro="" textlink="">
      <xdr:nvSpPr>
        <xdr:cNvPr id="7" name="AutoShape 6" descr="London Irish">
          <a:extLst>
            <a:ext uri="{FF2B5EF4-FFF2-40B4-BE49-F238E27FC236}">
              <a16:creationId xmlns:a16="http://schemas.microsoft.com/office/drawing/2014/main" id="{1C7B0B89-5508-4D25-8AFC-0C01FA89BA6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304800</xdr:colOff>
      <xdr:row>9</xdr:row>
      <xdr:rowOff>112503</xdr:rowOff>
    </xdr:to>
    <xdr:sp macro="" textlink="">
      <xdr:nvSpPr>
        <xdr:cNvPr id="8" name="AutoShape 7" descr="Leicester Tigers">
          <a:extLst>
            <a:ext uri="{FF2B5EF4-FFF2-40B4-BE49-F238E27FC236}">
              <a16:creationId xmlns:a16="http://schemas.microsoft.com/office/drawing/2014/main" id="{1C3E726C-B1FE-4294-8D93-3EF6682BC9C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10</xdr:row>
      <xdr:rowOff>112503</xdr:rowOff>
    </xdr:to>
    <xdr:sp macro="" textlink="">
      <xdr:nvSpPr>
        <xdr:cNvPr id="9" name="AutoShape 8" descr="Newcastle Falcons">
          <a:extLst>
            <a:ext uri="{FF2B5EF4-FFF2-40B4-BE49-F238E27FC236}">
              <a16:creationId xmlns:a16="http://schemas.microsoft.com/office/drawing/2014/main" id="{27953F18-9545-4091-A076-57CCD855EB1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609600</xdr:colOff>
      <xdr:row>10</xdr:row>
      <xdr:rowOff>19050</xdr:rowOff>
    </xdr:from>
    <xdr:to>
      <xdr:col>9</xdr:col>
      <xdr:colOff>295275</xdr:colOff>
      <xdr:row>11</xdr:row>
      <xdr:rowOff>131553</xdr:rowOff>
    </xdr:to>
    <xdr:sp macro="" textlink="">
      <xdr:nvSpPr>
        <xdr:cNvPr id="10" name="AutoShape 9" descr="Bath Rugby">
          <a:extLst>
            <a:ext uri="{FF2B5EF4-FFF2-40B4-BE49-F238E27FC236}">
              <a16:creationId xmlns:a16="http://schemas.microsoft.com/office/drawing/2014/main" id="{CB1784FB-5B10-41B0-AFCE-922862AAF159}"/>
            </a:ext>
          </a:extLst>
        </xdr:cNvPr>
        <xdr:cNvSpPr>
          <a:spLocks noChangeAspect="1" noChangeArrowheads="1"/>
        </xdr:cNvSpPr>
      </xdr:nvSpPr>
      <xdr:spPr bwMode="auto">
        <a:xfrm>
          <a:off x="6596332" y="191686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189780</xdr:colOff>
      <xdr:row>42</xdr:row>
      <xdr:rowOff>86264</xdr:rowOff>
    </xdr:from>
    <xdr:to>
      <xdr:col>2</xdr:col>
      <xdr:colOff>494580</xdr:colOff>
      <xdr:row>45</xdr:row>
      <xdr:rowOff>8987</xdr:rowOff>
    </xdr:to>
    <xdr:sp macro="" textlink="">
      <xdr:nvSpPr>
        <xdr:cNvPr id="12" name="AutoShape 11" descr="Gloucester Rugby">
          <a:extLst>
            <a:ext uri="{FF2B5EF4-FFF2-40B4-BE49-F238E27FC236}">
              <a16:creationId xmlns:a16="http://schemas.microsoft.com/office/drawing/2014/main" id="{A6301B98-B8C9-498F-8368-FEC4A5C642C6}"/>
            </a:ext>
          </a:extLst>
        </xdr:cNvPr>
        <xdr:cNvSpPr>
          <a:spLocks noChangeAspect="1" noChangeArrowheads="1"/>
        </xdr:cNvSpPr>
      </xdr:nvSpPr>
      <xdr:spPr bwMode="auto">
        <a:xfrm>
          <a:off x="1949569" y="8057072"/>
          <a:ext cx="304800" cy="49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693454</xdr:colOff>
      <xdr:row>41</xdr:row>
      <xdr:rowOff>177958</xdr:rowOff>
    </xdr:from>
    <xdr:to>
      <xdr:col>4</xdr:col>
      <xdr:colOff>998254</xdr:colOff>
      <xdr:row>42</xdr:row>
      <xdr:rowOff>68929</xdr:rowOff>
    </xdr:to>
    <xdr:sp macro="" textlink="">
      <xdr:nvSpPr>
        <xdr:cNvPr id="13" name="AutoShape 12" descr="Worcester Warriors">
          <a:extLst>
            <a:ext uri="{FF2B5EF4-FFF2-40B4-BE49-F238E27FC236}">
              <a16:creationId xmlns:a16="http://schemas.microsoft.com/office/drawing/2014/main" id="{4C6A6AC4-2C48-414A-AA4C-BB9AC82ED8AE}"/>
            </a:ext>
          </a:extLst>
        </xdr:cNvPr>
        <xdr:cNvSpPr>
          <a:spLocks noChangeAspect="1" noChangeArrowheads="1"/>
        </xdr:cNvSpPr>
      </xdr:nvSpPr>
      <xdr:spPr bwMode="auto">
        <a:xfrm rot="12972502" flipV="1">
          <a:off x="3936986" y="7958984"/>
          <a:ext cx="304800" cy="80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353684</xdr:colOff>
      <xdr:row>12</xdr:row>
      <xdr:rowOff>51758</xdr:rowOff>
    </xdr:from>
    <xdr:ext cx="304800" cy="302284"/>
    <xdr:sp macro="" textlink="">
      <xdr:nvSpPr>
        <xdr:cNvPr id="15" name="AutoShape 10" descr="Wasps">
          <a:extLst>
            <a:ext uri="{FF2B5EF4-FFF2-40B4-BE49-F238E27FC236}">
              <a16:creationId xmlns:a16="http://schemas.microsoft.com/office/drawing/2014/main" id="{CFC80C93-7D7B-4487-910A-11B8914D7A4F}"/>
            </a:ext>
          </a:extLst>
        </xdr:cNvPr>
        <xdr:cNvSpPr>
          <a:spLocks noChangeAspect="1" noChangeArrowheads="1"/>
        </xdr:cNvSpPr>
      </xdr:nvSpPr>
      <xdr:spPr bwMode="auto">
        <a:xfrm>
          <a:off x="6202393" y="232913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302284"/>
    <xdr:sp macro="" textlink="">
      <xdr:nvSpPr>
        <xdr:cNvPr id="16" name="AutoShape 10" descr="Wasps">
          <a:extLst>
            <a:ext uri="{FF2B5EF4-FFF2-40B4-BE49-F238E27FC236}">
              <a16:creationId xmlns:a16="http://schemas.microsoft.com/office/drawing/2014/main" id="{3355307F-13C0-464F-BDEE-ADDDB61B047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</xdr:row>
      <xdr:rowOff>0</xdr:rowOff>
    </xdr:from>
    <xdr:ext cx="304800" cy="302284"/>
    <xdr:sp macro="" textlink="">
      <xdr:nvSpPr>
        <xdr:cNvPr id="17" name="AutoShape 10" descr="Wasps">
          <a:extLst>
            <a:ext uri="{FF2B5EF4-FFF2-40B4-BE49-F238E27FC236}">
              <a16:creationId xmlns:a16="http://schemas.microsoft.com/office/drawing/2014/main" id="{7B421091-176E-4667-A498-82E592C2BAE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304800" cy="302284"/>
    <xdr:sp macro="" textlink="">
      <xdr:nvSpPr>
        <xdr:cNvPr id="18" name="AutoShape 10" descr="Wasps">
          <a:extLst>
            <a:ext uri="{FF2B5EF4-FFF2-40B4-BE49-F238E27FC236}">
              <a16:creationId xmlns:a16="http://schemas.microsoft.com/office/drawing/2014/main" id="{9E5EEF30-AFC5-42CE-A970-784BB7669C2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304800" cy="302284"/>
    <xdr:sp macro="" textlink="">
      <xdr:nvSpPr>
        <xdr:cNvPr id="19" name="AutoShape 10" descr="Wasps">
          <a:extLst>
            <a:ext uri="{FF2B5EF4-FFF2-40B4-BE49-F238E27FC236}">
              <a16:creationId xmlns:a16="http://schemas.microsoft.com/office/drawing/2014/main" id="{13F0A7FF-8C30-4B4E-9D5A-91D0C4DF58A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304800" cy="302284"/>
    <xdr:sp macro="" textlink="">
      <xdr:nvSpPr>
        <xdr:cNvPr id="20" name="AutoShape 10" descr="Wasps">
          <a:extLst>
            <a:ext uri="{FF2B5EF4-FFF2-40B4-BE49-F238E27FC236}">
              <a16:creationId xmlns:a16="http://schemas.microsoft.com/office/drawing/2014/main" id="{EB8C6136-EC4E-4789-A504-C51FD0D34B1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304800" cy="302284"/>
    <xdr:sp macro="" textlink="">
      <xdr:nvSpPr>
        <xdr:cNvPr id="21" name="AutoShape 10" descr="Wasps">
          <a:extLst>
            <a:ext uri="{FF2B5EF4-FFF2-40B4-BE49-F238E27FC236}">
              <a16:creationId xmlns:a16="http://schemas.microsoft.com/office/drawing/2014/main" id="{36EA204E-C95B-44B7-9C71-906B251CDDC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302284"/>
    <xdr:sp macro="" textlink="">
      <xdr:nvSpPr>
        <xdr:cNvPr id="22" name="AutoShape 10" descr="Wasps">
          <a:extLst>
            <a:ext uri="{FF2B5EF4-FFF2-40B4-BE49-F238E27FC236}">
              <a16:creationId xmlns:a16="http://schemas.microsoft.com/office/drawing/2014/main" id="{965FA792-9BD9-43EA-AD42-60F764740F8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302284"/>
    <xdr:sp macro="" textlink="">
      <xdr:nvSpPr>
        <xdr:cNvPr id="23" name="AutoShape 10" descr="Wasps">
          <a:extLst>
            <a:ext uri="{FF2B5EF4-FFF2-40B4-BE49-F238E27FC236}">
              <a16:creationId xmlns:a16="http://schemas.microsoft.com/office/drawing/2014/main" id="{23722309-0619-43CC-A761-262F5765FD6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0364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304800" cy="302284"/>
    <xdr:sp macro="" textlink="">
      <xdr:nvSpPr>
        <xdr:cNvPr id="24" name="AutoShape 10" descr="Wasps">
          <a:extLst>
            <a:ext uri="{FF2B5EF4-FFF2-40B4-BE49-F238E27FC236}">
              <a16:creationId xmlns:a16="http://schemas.microsoft.com/office/drawing/2014/main" id="{3FA9BCF8-310B-483B-AFDD-EAF9099EDA8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304800" cy="302284"/>
    <xdr:sp macro="" textlink="">
      <xdr:nvSpPr>
        <xdr:cNvPr id="25" name="AutoShape 10" descr="Wasps">
          <a:extLst>
            <a:ext uri="{FF2B5EF4-FFF2-40B4-BE49-F238E27FC236}">
              <a16:creationId xmlns:a16="http://schemas.microsoft.com/office/drawing/2014/main" id="{273A15D9-9D62-42A7-A83B-E1DDF703F68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302284"/>
    <xdr:sp macro="" textlink="">
      <xdr:nvSpPr>
        <xdr:cNvPr id="26" name="AutoShape 10" descr="Wasps">
          <a:extLst>
            <a:ext uri="{FF2B5EF4-FFF2-40B4-BE49-F238E27FC236}">
              <a16:creationId xmlns:a16="http://schemas.microsoft.com/office/drawing/2014/main" id="{FBE9B277-3CB8-4580-910F-3FDD9832056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302284"/>
    <xdr:sp macro="" textlink="">
      <xdr:nvSpPr>
        <xdr:cNvPr id="27" name="AutoShape 10" descr="Wasps">
          <a:extLst>
            <a:ext uri="{FF2B5EF4-FFF2-40B4-BE49-F238E27FC236}">
              <a16:creationId xmlns:a16="http://schemas.microsoft.com/office/drawing/2014/main" id="{47A1AEA7-FAF1-423D-ADDC-8BE8DFFE1FE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304800" cy="302284"/>
    <xdr:sp macro="" textlink="">
      <xdr:nvSpPr>
        <xdr:cNvPr id="28" name="AutoShape 10" descr="Wasps">
          <a:extLst>
            <a:ext uri="{FF2B5EF4-FFF2-40B4-BE49-F238E27FC236}">
              <a16:creationId xmlns:a16="http://schemas.microsoft.com/office/drawing/2014/main" id="{021C9DBA-3C11-4B16-BB53-17007FEFDC5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304800" cy="302284"/>
    <xdr:sp macro="" textlink="">
      <xdr:nvSpPr>
        <xdr:cNvPr id="29" name="AutoShape 10" descr="Wasps">
          <a:extLst>
            <a:ext uri="{FF2B5EF4-FFF2-40B4-BE49-F238E27FC236}">
              <a16:creationId xmlns:a16="http://schemas.microsoft.com/office/drawing/2014/main" id="{1D555BD4-B04F-4880-AADF-6CFE1746250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302284"/>
    <xdr:sp macro="" textlink="">
      <xdr:nvSpPr>
        <xdr:cNvPr id="30" name="AutoShape 10" descr="Wasps">
          <a:extLst>
            <a:ext uri="{FF2B5EF4-FFF2-40B4-BE49-F238E27FC236}">
              <a16:creationId xmlns:a16="http://schemas.microsoft.com/office/drawing/2014/main" id="{4C04A0E8-C2C8-4C5E-B5C7-9DF5385B2D1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302284"/>
    <xdr:sp macro="" textlink="">
      <xdr:nvSpPr>
        <xdr:cNvPr id="31" name="AutoShape 10" descr="Wasps">
          <a:extLst>
            <a:ext uri="{FF2B5EF4-FFF2-40B4-BE49-F238E27FC236}">
              <a16:creationId xmlns:a16="http://schemas.microsoft.com/office/drawing/2014/main" id="{86CBEE93-C73C-4DE0-BB18-C49C73F9AC35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2284"/>
    <xdr:sp macro="" textlink="">
      <xdr:nvSpPr>
        <xdr:cNvPr id="32" name="AutoShape 10" descr="Wasps">
          <a:extLst>
            <a:ext uri="{FF2B5EF4-FFF2-40B4-BE49-F238E27FC236}">
              <a16:creationId xmlns:a16="http://schemas.microsoft.com/office/drawing/2014/main" id="{1153210E-294C-4BC6-9780-BBC6930B53B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2284"/>
    <xdr:sp macro="" textlink="">
      <xdr:nvSpPr>
        <xdr:cNvPr id="33" name="AutoShape 10" descr="Wasps">
          <a:extLst>
            <a:ext uri="{FF2B5EF4-FFF2-40B4-BE49-F238E27FC236}">
              <a16:creationId xmlns:a16="http://schemas.microsoft.com/office/drawing/2014/main" id="{5B2309C3-7E23-4C7F-8885-DED4490AE96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2284"/>
    <xdr:sp macro="" textlink="">
      <xdr:nvSpPr>
        <xdr:cNvPr id="34" name="AutoShape 10" descr="Wasps">
          <a:extLst>
            <a:ext uri="{FF2B5EF4-FFF2-40B4-BE49-F238E27FC236}">
              <a16:creationId xmlns:a16="http://schemas.microsoft.com/office/drawing/2014/main" id="{A83A613D-0A35-45EF-9AFC-80DA99963CA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304800" cy="303002"/>
    <xdr:sp macro="" textlink="">
      <xdr:nvSpPr>
        <xdr:cNvPr id="36" name="AutoShape 2" descr="Exeter Chiefs">
          <a:extLst>
            <a:ext uri="{FF2B5EF4-FFF2-40B4-BE49-F238E27FC236}">
              <a16:creationId xmlns:a16="http://schemas.microsoft.com/office/drawing/2014/main" id="{74E55ADD-CF4A-40DC-8B1B-070AC22CF7EA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3003"/>
    <xdr:sp macro="" textlink="">
      <xdr:nvSpPr>
        <xdr:cNvPr id="37" name="AutoShape 3" descr="Harlequins">
          <a:extLst>
            <a:ext uri="{FF2B5EF4-FFF2-40B4-BE49-F238E27FC236}">
              <a16:creationId xmlns:a16="http://schemas.microsoft.com/office/drawing/2014/main" id="{12554FCD-0C1E-4043-9AD4-FDB4E4A2E87B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3003"/>
    <xdr:sp macro="" textlink="">
      <xdr:nvSpPr>
        <xdr:cNvPr id="38" name="AutoShape 4" descr="Sale Sharks">
          <a:extLst>
            <a:ext uri="{FF2B5EF4-FFF2-40B4-BE49-F238E27FC236}">
              <a16:creationId xmlns:a16="http://schemas.microsoft.com/office/drawing/2014/main" id="{6A21F930-E2DF-4CED-878E-56AF6C281AB7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3003"/>
    <xdr:sp macro="" textlink="">
      <xdr:nvSpPr>
        <xdr:cNvPr id="39" name="AutoShape 5" descr="Northampton Saints">
          <a:extLst>
            <a:ext uri="{FF2B5EF4-FFF2-40B4-BE49-F238E27FC236}">
              <a16:creationId xmlns:a16="http://schemas.microsoft.com/office/drawing/2014/main" id="{0604D394-B53E-4153-8843-B83D639F247E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03003"/>
    <xdr:sp macro="" textlink="">
      <xdr:nvSpPr>
        <xdr:cNvPr id="40" name="AutoShape 6" descr="London Irish">
          <a:extLst>
            <a:ext uri="{FF2B5EF4-FFF2-40B4-BE49-F238E27FC236}">
              <a16:creationId xmlns:a16="http://schemas.microsoft.com/office/drawing/2014/main" id="{0A7A439C-3C52-4699-9B4E-F5705C4FFB74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03003"/>
    <xdr:sp macro="" textlink="">
      <xdr:nvSpPr>
        <xdr:cNvPr id="41" name="AutoShape 7" descr="Leicester Tigers">
          <a:extLst>
            <a:ext uri="{FF2B5EF4-FFF2-40B4-BE49-F238E27FC236}">
              <a16:creationId xmlns:a16="http://schemas.microsoft.com/office/drawing/2014/main" id="{8CC1E5DF-1CB4-47C2-992D-48C69E1D1536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3003"/>
    <xdr:sp macro="" textlink="">
      <xdr:nvSpPr>
        <xdr:cNvPr id="42" name="AutoShape 8" descr="Newcastle Falcons">
          <a:extLst>
            <a:ext uri="{FF2B5EF4-FFF2-40B4-BE49-F238E27FC236}">
              <a16:creationId xmlns:a16="http://schemas.microsoft.com/office/drawing/2014/main" id="{3613385B-2E1E-4A8A-A660-7B9E889F97D0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189781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19050</xdr:rowOff>
    </xdr:from>
    <xdr:ext cx="295275" cy="303003"/>
    <xdr:sp macro="" textlink="">
      <xdr:nvSpPr>
        <xdr:cNvPr id="43" name="AutoShape 9" descr="Bath Rugby">
          <a:extLst>
            <a:ext uri="{FF2B5EF4-FFF2-40B4-BE49-F238E27FC236}">
              <a16:creationId xmlns:a16="http://schemas.microsoft.com/office/drawing/2014/main" id="{8437FC0E-546E-4ACC-80D0-A62D85F864BE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191686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12</xdr:row>
      <xdr:rowOff>0</xdr:rowOff>
    </xdr:from>
    <xdr:ext cx="304800" cy="303002"/>
    <xdr:sp macro="" textlink="">
      <xdr:nvSpPr>
        <xdr:cNvPr id="44" name="AutoShape 10" descr="Wasps">
          <a:extLst>
            <a:ext uri="{FF2B5EF4-FFF2-40B4-BE49-F238E27FC236}">
              <a16:creationId xmlns:a16="http://schemas.microsoft.com/office/drawing/2014/main" id="{3B56AB31-1FD8-41D6-9B73-4C26B9162BFE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2277374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304800" cy="303003"/>
    <xdr:sp macro="" textlink="">
      <xdr:nvSpPr>
        <xdr:cNvPr id="45" name="AutoShape 11" descr="Gloucester Rugby">
          <a:extLst>
            <a:ext uri="{FF2B5EF4-FFF2-40B4-BE49-F238E27FC236}">
              <a16:creationId xmlns:a16="http://schemas.microsoft.com/office/drawing/2014/main" id="{D3FD9FB3-38DA-41FC-BA34-048F0EE8CF56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474452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232913</xdr:colOff>
      <xdr:row>44</xdr:row>
      <xdr:rowOff>129396</xdr:rowOff>
    </xdr:from>
    <xdr:ext cx="304800" cy="303003"/>
    <xdr:sp macro="" textlink="">
      <xdr:nvSpPr>
        <xdr:cNvPr id="46" name="AutoShape 12" descr="Worcester Warriors">
          <a:extLst>
            <a:ext uri="{FF2B5EF4-FFF2-40B4-BE49-F238E27FC236}">
              <a16:creationId xmlns:a16="http://schemas.microsoft.com/office/drawing/2014/main" id="{FC7F2BAB-B0C7-4196-B1D4-379805199EA7}"/>
            </a:ext>
          </a:extLst>
        </xdr:cNvPr>
        <xdr:cNvSpPr>
          <a:spLocks noChangeAspect="1" noChangeArrowheads="1"/>
        </xdr:cNvSpPr>
      </xdr:nvSpPr>
      <xdr:spPr bwMode="auto">
        <a:xfrm>
          <a:off x="4701396" y="847976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336430</xdr:colOff>
      <xdr:row>12</xdr:row>
      <xdr:rowOff>0</xdr:rowOff>
    </xdr:from>
    <xdr:ext cx="304800" cy="302284"/>
    <xdr:sp macro="" textlink="">
      <xdr:nvSpPr>
        <xdr:cNvPr id="47" name="AutoShape 10" descr="Wasps">
          <a:extLst>
            <a:ext uri="{FF2B5EF4-FFF2-40B4-BE49-F238E27FC236}">
              <a16:creationId xmlns:a16="http://schemas.microsoft.com/office/drawing/2014/main" id="{A1B750E7-4295-4CD3-9B43-C1327B7A865E}"/>
            </a:ext>
          </a:extLst>
        </xdr:cNvPr>
        <xdr:cNvSpPr>
          <a:spLocks noChangeAspect="1" noChangeArrowheads="1"/>
        </xdr:cNvSpPr>
      </xdr:nvSpPr>
      <xdr:spPr bwMode="auto">
        <a:xfrm>
          <a:off x="13077645" y="24412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13</xdr:row>
      <xdr:rowOff>0</xdr:rowOff>
    </xdr:from>
    <xdr:ext cx="304800" cy="302284"/>
    <xdr:sp macro="" textlink="">
      <xdr:nvSpPr>
        <xdr:cNvPr id="48" name="AutoShape 10" descr="Wasps">
          <a:extLst>
            <a:ext uri="{FF2B5EF4-FFF2-40B4-BE49-F238E27FC236}">
              <a16:creationId xmlns:a16="http://schemas.microsoft.com/office/drawing/2014/main" id="{925C42C7-8CE0-48D7-96A2-49C542E3867B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26569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14</xdr:row>
      <xdr:rowOff>0</xdr:rowOff>
    </xdr:from>
    <xdr:ext cx="304800" cy="302284"/>
    <xdr:sp macro="" textlink="">
      <xdr:nvSpPr>
        <xdr:cNvPr id="49" name="AutoShape 10" descr="Wasps">
          <a:extLst>
            <a:ext uri="{FF2B5EF4-FFF2-40B4-BE49-F238E27FC236}">
              <a16:creationId xmlns:a16="http://schemas.microsoft.com/office/drawing/2014/main" id="{05D3DE3D-B8DA-4ADB-A910-8C21743D3770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14</xdr:row>
      <xdr:rowOff>0</xdr:rowOff>
    </xdr:from>
    <xdr:ext cx="304800" cy="302284"/>
    <xdr:sp macro="" textlink="">
      <xdr:nvSpPr>
        <xdr:cNvPr id="50" name="AutoShape 10" descr="Wasps">
          <a:extLst>
            <a:ext uri="{FF2B5EF4-FFF2-40B4-BE49-F238E27FC236}">
              <a16:creationId xmlns:a16="http://schemas.microsoft.com/office/drawing/2014/main" id="{D8C8E15D-A606-408C-9CA1-65082BDBAA80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28467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16</xdr:row>
      <xdr:rowOff>0</xdr:rowOff>
    </xdr:from>
    <xdr:ext cx="304800" cy="302284"/>
    <xdr:sp macro="" textlink="">
      <xdr:nvSpPr>
        <xdr:cNvPr id="51" name="AutoShape 10" descr="Wasps">
          <a:extLst>
            <a:ext uri="{FF2B5EF4-FFF2-40B4-BE49-F238E27FC236}">
              <a16:creationId xmlns:a16="http://schemas.microsoft.com/office/drawing/2014/main" id="{6DB8B877-7E2F-4E95-BF70-9E6466570002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16</xdr:row>
      <xdr:rowOff>0</xdr:rowOff>
    </xdr:from>
    <xdr:ext cx="304800" cy="302284"/>
    <xdr:sp macro="" textlink="">
      <xdr:nvSpPr>
        <xdr:cNvPr id="52" name="AutoShape 10" descr="Wasps">
          <a:extLst>
            <a:ext uri="{FF2B5EF4-FFF2-40B4-BE49-F238E27FC236}">
              <a16:creationId xmlns:a16="http://schemas.microsoft.com/office/drawing/2014/main" id="{6FD79C9A-6340-4EAC-85EF-1B221C1C3F0C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16</xdr:row>
      <xdr:rowOff>0</xdr:rowOff>
    </xdr:from>
    <xdr:ext cx="304800" cy="302284"/>
    <xdr:sp macro="" textlink="">
      <xdr:nvSpPr>
        <xdr:cNvPr id="53" name="AutoShape 10" descr="Wasps">
          <a:extLst>
            <a:ext uri="{FF2B5EF4-FFF2-40B4-BE49-F238E27FC236}">
              <a16:creationId xmlns:a16="http://schemas.microsoft.com/office/drawing/2014/main" id="{12F730AF-F122-4EB9-9779-618FFF52CAED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22627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17</xdr:row>
      <xdr:rowOff>0</xdr:rowOff>
    </xdr:from>
    <xdr:ext cx="304800" cy="302284"/>
    <xdr:sp macro="" textlink="">
      <xdr:nvSpPr>
        <xdr:cNvPr id="55" name="AutoShape 10" descr="Wasps">
          <a:extLst>
            <a:ext uri="{FF2B5EF4-FFF2-40B4-BE49-F238E27FC236}">
              <a16:creationId xmlns:a16="http://schemas.microsoft.com/office/drawing/2014/main" id="{9E74919E-0046-4E86-8879-1EA658267559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17</xdr:row>
      <xdr:rowOff>0</xdr:rowOff>
    </xdr:from>
    <xdr:ext cx="304800" cy="302284"/>
    <xdr:sp macro="" textlink="">
      <xdr:nvSpPr>
        <xdr:cNvPr id="56" name="AutoShape 10" descr="Wasps">
          <a:extLst>
            <a:ext uri="{FF2B5EF4-FFF2-40B4-BE49-F238E27FC236}">
              <a16:creationId xmlns:a16="http://schemas.microsoft.com/office/drawing/2014/main" id="{996A8FDB-A725-4D76-AFD7-8EA5726CBA8A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41606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18</xdr:row>
      <xdr:rowOff>0</xdr:rowOff>
    </xdr:from>
    <xdr:ext cx="304800" cy="302284"/>
    <xdr:sp macro="" textlink="">
      <xdr:nvSpPr>
        <xdr:cNvPr id="57" name="AutoShape 10" descr="Wasps">
          <a:extLst>
            <a:ext uri="{FF2B5EF4-FFF2-40B4-BE49-F238E27FC236}">
              <a16:creationId xmlns:a16="http://schemas.microsoft.com/office/drawing/2014/main" id="{5D2657A7-581B-4F7B-BA54-A82DD1665F10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18</xdr:row>
      <xdr:rowOff>0</xdr:rowOff>
    </xdr:from>
    <xdr:ext cx="304800" cy="302284"/>
    <xdr:sp macro="" textlink="">
      <xdr:nvSpPr>
        <xdr:cNvPr id="58" name="AutoShape 10" descr="Wasps">
          <a:extLst>
            <a:ext uri="{FF2B5EF4-FFF2-40B4-BE49-F238E27FC236}">
              <a16:creationId xmlns:a16="http://schemas.microsoft.com/office/drawing/2014/main" id="{6E55CC5A-2C62-44DA-935C-20CFE4B85D0C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60584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59" name="AutoShape 10" descr="Wasps">
          <a:extLst>
            <a:ext uri="{FF2B5EF4-FFF2-40B4-BE49-F238E27FC236}">
              <a16:creationId xmlns:a16="http://schemas.microsoft.com/office/drawing/2014/main" id="{55711219-BAFE-454F-851E-F2E9B1312C1B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60" name="AutoShape 10" descr="Wasps">
          <a:extLst>
            <a:ext uri="{FF2B5EF4-FFF2-40B4-BE49-F238E27FC236}">
              <a16:creationId xmlns:a16="http://schemas.microsoft.com/office/drawing/2014/main" id="{F6A4C24E-45A1-48D0-932C-C5F7EF724A3C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79562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61" name="AutoShape 10" descr="Wasps">
          <a:extLst>
            <a:ext uri="{FF2B5EF4-FFF2-40B4-BE49-F238E27FC236}">
              <a16:creationId xmlns:a16="http://schemas.microsoft.com/office/drawing/2014/main" id="{F44BB393-7141-472E-AFB0-08AB742538CD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62" name="AutoShape 10" descr="Wasps">
          <a:extLst>
            <a:ext uri="{FF2B5EF4-FFF2-40B4-BE49-F238E27FC236}">
              <a16:creationId xmlns:a16="http://schemas.microsoft.com/office/drawing/2014/main" id="{042EE688-03F4-405D-A58F-448A2F9C6EB4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398540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63" name="AutoShape 10" descr="Wasps">
          <a:extLst>
            <a:ext uri="{FF2B5EF4-FFF2-40B4-BE49-F238E27FC236}">
              <a16:creationId xmlns:a16="http://schemas.microsoft.com/office/drawing/2014/main" id="{698D3719-572E-42FC-AEED-564052F5C751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6144" name="AutoShape 10" descr="Wasps">
          <a:extLst>
            <a:ext uri="{FF2B5EF4-FFF2-40B4-BE49-F238E27FC236}">
              <a16:creationId xmlns:a16="http://schemas.microsoft.com/office/drawing/2014/main" id="{DD3CB1D5-F9B4-4393-A6AF-4062284606F9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41751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2284"/>
    <xdr:sp macro="" textlink="">
      <xdr:nvSpPr>
        <xdr:cNvPr id="6157" name="AutoShape 10" descr="Wasps">
          <a:extLst>
            <a:ext uri="{FF2B5EF4-FFF2-40B4-BE49-F238E27FC236}">
              <a16:creationId xmlns:a16="http://schemas.microsoft.com/office/drawing/2014/main" id="{253D5C1C-6E9D-45D1-9852-11D76B6F3965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2284"/>
    <xdr:sp macro="" textlink="">
      <xdr:nvSpPr>
        <xdr:cNvPr id="6158" name="AutoShape 10" descr="Wasps">
          <a:extLst>
            <a:ext uri="{FF2B5EF4-FFF2-40B4-BE49-F238E27FC236}">
              <a16:creationId xmlns:a16="http://schemas.microsoft.com/office/drawing/2014/main" id="{3702C257-E2BB-492E-A4F1-2DFE6005DEE5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436496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6159" name="AutoShape 10" descr="Wasps">
          <a:extLst>
            <a:ext uri="{FF2B5EF4-FFF2-40B4-BE49-F238E27FC236}">
              <a16:creationId xmlns:a16="http://schemas.microsoft.com/office/drawing/2014/main" id="{5B95E932-79CE-4AFE-9EF4-6F0A7993C0E2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455474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28</xdr:row>
      <xdr:rowOff>0</xdr:rowOff>
    </xdr:from>
    <xdr:ext cx="304800" cy="303002"/>
    <xdr:sp macro="" textlink="">
      <xdr:nvSpPr>
        <xdr:cNvPr id="6160" name="AutoShape 2" descr="Exeter Chiefs">
          <a:extLst>
            <a:ext uri="{FF2B5EF4-FFF2-40B4-BE49-F238E27FC236}">
              <a16:creationId xmlns:a16="http://schemas.microsoft.com/office/drawing/2014/main" id="{649EFA82-5043-4910-BB74-F01A16BCC924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588321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29</xdr:row>
      <xdr:rowOff>0</xdr:rowOff>
    </xdr:from>
    <xdr:ext cx="304800" cy="303003"/>
    <xdr:sp macro="" textlink="">
      <xdr:nvSpPr>
        <xdr:cNvPr id="6161" name="AutoShape 3" descr="Harlequins">
          <a:extLst>
            <a:ext uri="{FF2B5EF4-FFF2-40B4-BE49-F238E27FC236}">
              <a16:creationId xmlns:a16="http://schemas.microsoft.com/office/drawing/2014/main" id="{F2A12CF9-0DE9-400B-A575-86BC8A82485E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607299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30</xdr:row>
      <xdr:rowOff>0</xdr:rowOff>
    </xdr:from>
    <xdr:ext cx="304800" cy="303003"/>
    <xdr:sp macro="" textlink="">
      <xdr:nvSpPr>
        <xdr:cNvPr id="6162" name="AutoShape 4" descr="Sale Sharks">
          <a:extLst>
            <a:ext uri="{FF2B5EF4-FFF2-40B4-BE49-F238E27FC236}">
              <a16:creationId xmlns:a16="http://schemas.microsoft.com/office/drawing/2014/main" id="{8B8C124A-20C8-4D7B-A76C-57C32C5CE710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626277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0</xdr:rowOff>
    </xdr:from>
    <xdr:ext cx="304800" cy="303003"/>
    <xdr:sp macro="" textlink="">
      <xdr:nvSpPr>
        <xdr:cNvPr id="6163" name="AutoShape 5" descr="Northampton Saints">
          <a:extLst>
            <a:ext uri="{FF2B5EF4-FFF2-40B4-BE49-F238E27FC236}">
              <a16:creationId xmlns:a16="http://schemas.microsoft.com/office/drawing/2014/main" id="{920A8B5D-15A1-4EAC-8919-33F151B44830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645255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32</xdr:row>
      <xdr:rowOff>0</xdr:rowOff>
    </xdr:from>
    <xdr:ext cx="304800" cy="303003"/>
    <xdr:sp macro="" textlink="">
      <xdr:nvSpPr>
        <xdr:cNvPr id="6164" name="AutoShape 6" descr="London Irish">
          <a:extLst>
            <a:ext uri="{FF2B5EF4-FFF2-40B4-BE49-F238E27FC236}">
              <a16:creationId xmlns:a16="http://schemas.microsoft.com/office/drawing/2014/main" id="{1375AF1D-47DF-41FE-ACA1-1917409B8860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6642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3003"/>
    <xdr:sp macro="" textlink="">
      <xdr:nvSpPr>
        <xdr:cNvPr id="6165" name="AutoShape 7" descr="Leicester Tigers">
          <a:extLst>
            <a:ext uri="{FF2B5EF4-FFF2-40B4-BE49-F238E27FC236}">
              <a16:creationId xmlns:a16="http://schemas.microsoft.com/office/drawing/2014/main" id="{78B70D9F-CCE0-43CE-81D9-44707A8B2CE0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683212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3003"/>
    <xdr:sp macro="" textlink="">
      <xdr:nvSpPr>
        <xdr:cNvPr id="6166" name="AutoShape 8" descr="Newcastle Falcons">
          <a:extLst>
            <a:ext uri="{FF2B5EF4-FFF2-40B4-BE49-F238E27FC236}">
              <a16:creationId xmlns:a16="http://schemas.microsoft.com/office/drawing/2014/main" id="{BB7A1E08-9F53-47DE-8DDA-874587C3DE0E}"/>
            </a:ext>
          </a:extLst>
        </xdr:cNvPr>
        <xdr:cNvSpPr>
          <a:spLocks noChangeAspect="1" noChangeArrowheads="1"/>
        </xdr:cNvSpPr>
      </xdr:nvSpPr>
      <xdr:spPr bwMode="auto">
        <a:xfrm>
          <a:off x="12741215" y="702190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258794</xdr:colOff>
      <xdr:row>32</xdr:row>
      <xdr:rowOff>155276</xdr:rowOff>
    </xdr:from>
    <xdr:ext cx="304800" cy="303003"/>
    <xdr:sp macro="" textlink="">
      <xdr:nvSpPr>
        <xdr:cNvPr id="6167" name="AutoShape 12" descr="Worcester Warriors">
          <a:extLst>
            <a:ext uri="{FF2B5EF4-FFF2-40B4-BE49-F238E27FC236}">
              <a16:creationId xmlns:a16="http://schemas.microsoft.com/office/drawing/2014/main" id="{177A5758-5D02-4EF2-AB1C-74833D57F2F1}"/>
            </a:ext>
          </a:extLst>
        </xdr:cNvPr>
        <xdr:cNvSpPr>
          <a:spLocks noChangeAspect="1" noChangeArrowheads="1"/>
        </xdr:cNvSpPr>
      </xdr:nvSpPr>
      <xdr:spPr bwMode="auto">
        <a:xfrm>
          <a:off x="4235571" y="622827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94890</xdr:colOff>
      <xdr:row>40</xdr:row>
      <xdr:rowOff>25879</xdr:rowOff>
    </xdr:from>
    <xdr:ext cx="304800" cy="302284"/>
    <xdr:sp macro="" textlink="">
      <xdr:nvSpPr>
        <xdr:cNvPr id="6169" name="AutoShape 10" descr="Wasps">
          <a:extLst>
            <a:ext uri="{FF2B5EF4-FFF2-40B4-BE49-F238E27FC236}">
              <a16:creationId xmlns:a16="http://schemas.microsoft.com/office/drawing/2014/main" id="{17066C79-A09D-4BAC-B65A-5B44094FBD4C}"/>
            </a:ext>
          </a:extLst>
        </xdr:cNvPr>
        <xdr:cNvSpPr>
          <a:spLocks noChangeAspect="1" noChangeArrowheads="1"/>
        </xdr:cNvSpPr>
      </xdr:nvSpPr>
      <xdr:spPr bwMode="auto">
        <a:xfrm>
          <a:off x="4563373" y="761712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871268</xdr:colOff>
      <xdr:row>40</xdr:row>
      <xdr:rowOff>60385</xdr:rowOff>
    </xdr:from>
    <xdr:ext cx="304800" cy="302284"/>
    <xdr:sp macro="" textlink="">
      <xdr:nvSpPr>
        <xdr:cNvPr id="6170" name="AutoShape 10" descr="Wasps">
          <a:extLst>
            <a:ext uri="{FF2B5EF4-FFF2-40B4-BE49-F238E27FC236}">
              <a16:creationId xmlns:a16="http://schemas.microsoft.com/office/drawing/2014/main" id="{E52AF41E-1921-4C31-BEA0-B7F16216086A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516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1043796</xdr:colOff>
      <xdr:row>45</xdr:row>
      <xdr:rowOff>51758</xdr:rowOff>
    </xdr:from>
    <xdr:ext cx="304800" cy="302284"/>
    <xdr:sp macro="" textlink="">
      <xdr:nvSpPr>
        <xdr:cNvPr id="6171" name="AutoShape 10" descr="Wasps">
          <a:extLst>
            <a:ext uri="{FF2B5EF4-FFF2-40B4-BE49-F238E27FC236}">
              <a16:creationId xmlns:a16="http://schemas.microsoft.com/office/drawing/2014/main" id="{BFF2303B-9DE8-442F-9C32-DAA5C538D636}"/>
            </a:ext>
          </a:extLst>
        </xdr:cNvPr>
        <xdr:cNvSpPr>
          <a:spLocks noChangeAspect="1" noChangeArrowheads="1"/>
        </xdr:cNvSpPr>
      </xdr:nvSpPr>
      <xdr:spPr bwMode="auto">
        <a:xfrm rot="12348276">
          <a:off x="4287328" y="859190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304800" cy="302284"/>
    <xdr:sp macro="" textlink="">
      <xdr:nvSpPr>
        <xdr:cNvPr id="6172" name="AutoShape 10" descr="Wasps">
          <a:extLst>
            <a:ext uri="{FF2B5EF4-FFF2-40B4-BE49-F238E27FC236}">
              <a16:creationId xmlns:a16="http://schemas.microsoft.com/office/drawing/2014/main" id="{FFC6D91C-7288-48D8-B159-616448222CFD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304800" cy="302284"/>
    <xdr:sp macro="" textlink="">
      <xdr:nvSpPr>
        <xdr:cNvPr id="6173" name="AutoShape 10" descr="Wasps">
          <a:extLst>
            <a:ext uri="{FF2B5EF4-FFF2-40B4-BE49-F238E27FC236}">
              <a16:creationId xmlns:a16="http://schemas.microsoft.com/office/drawing/2014/main" id="{DB80BD3D-962E-4D86-9F2E-0534D2F35BE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304800" cy="302284"/>
    <xdr:sp macro="" textlink="">
      <xdr:nvSpPr>
        <xdr:cNvPr id="6174" name="AutoShape 10" descr="Wasps">
          <a:extLst>
            <a:ext uri="{FF2B5EF4-FFF2-40B4-BE49-F238E27FC236}">
              <a16:creationId xmlns:a16="http://schemas.microsoft.com/office/drawing/2014/main" id="{DFF1BC5D-DCF8-423A-AFC3-CF508B5C30E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5036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53016</xdr:colOff>
      <xdr:row>29</xdr:row>
      <xdr:rowOff>154018</xdr:rowOff>
    </xdr:from>
    <xdr:ext cx="302284" cy="304800"/>
    <xdr:sp macro="" textlink="">
      <xdr:nvSpPr>
        <xdr:cNvPr id="6175" name="AutoShape 10" descr="Wasps">
          <a:extLst>
            <a:ext uri="{FF2B5EF4-FFF2-40B4-BE49-F238E27FC236}">
              <a16:creationId xmlns:a16="http://schemas.microsoft.com/office/drawing/2014/main" id="{FA8B18E9-592D-47A1-8049-7D7A1695529E}"/>
            </a:ext>
          </a:extLst>
        </xdr:cNvPr>
        <xdr:cNvSpPr>
          <a:spLocks noChangeAspect="1" noChangeArrowheads="1"/>
        </xdr:cNvSpPr>
      </xdr:nvSpPr>
      <xdr:spPr bwMode="auto">
        <a:xfrm rot="5714115">
          <a:off x="6789947" y="571452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304800" cy="302284"/>
    <xdr:sp macro="" textlink="">
      <xdr:nvSpPr>
        <xdr:cNvPr id="6176" name="AutoShape 10" descr="Wasps">
          <a:extLst>
            <a:ext uri="{FF2B5EF4-FFF2-40B4-BE49-F238E27FC236}">
              <a16:creationId xmlns:a16="http://schemas.microsoft.com/office/drawing/2014/main" id="{98613131-9AA1-46A7-9F3D-A8D9E864E8F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304800" cy="302284"/>
    <xdr:sp macro="" textlink="">
      <xdr:nvSpPr>
        <xdr:cNvPr id="6177" name="AutoShape 10" descr="Wasps">
          <a:extLst>
            <a:ext uri="{FF2B5EF4-FFF2-40B4-BE49-F238E27FC236}">
              <a16:creationId xmlns:a16="http://schemas.microsoft.com/office/drawing/2014/main" id="{3D9CA798-8260-4BAB-9ECE-4234BD4CDCB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693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304800" cy="302284"/>
    <xdr:sp macro="" textlink="">
      <xdr:nvSpPr>
        <xdr:cNvPr id="6178" name="AutoShape 10" descr="Wasps">
          <a:extLst>
            <a:ext uri="{FF2B5EF4-FFF2-40B4-BE49-F238E27FC236}">
              <a16:creationId xmlns:a16="http://schemas.microsoft.com/office/drawing/2014/main" id="{4E42503D-73E5-4685-89B0-E3A83B19B1C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304800" cy="302284"/>
    <xdr:sp macro="" textlink="">
      <xdr:nvSpPr>
        <xdr:cNvPr id="6179" name="AutoShape 10" descr="Wasps">
          <a:extLst>
            <a:ext uri="{FF2B5EF4-FFF2-40B4-BE49-F238E27FC236}">
              <a16:creationId xmlns:a16="http://schemas.microsoft.com/office/drawing/2014/main" id="{8E3BFB16-372E-4531-BF46-102FF3E9BEC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588321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304800" cy="302284"/>
    <xdr:sp macro="" textlink="">
      <xdr:nvSpPr>
        <xdr:cNvPr id="6180" name="AutoShape 10" descr="Wasps">
          <a:extLst>
            <a:ext uri="{FF2B5EF4-FFF2-40B4-BE49-F238E27FC236}">
              <a16:creationId xmlns:a16="http://schemas.microsoft.com/office/drawing/2014/main" id="{B25A0BCA-3095-468E-87DE-A6839D03E15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304800" cy="302284"/>
    <xdr:sp macro="" textlink="">
      <xdr:nvSpPr>
        <xdr:cNvPr id="6181" name="AutoShape 10" descr="Wasps">
          <a:extLst>
            <a:ext uri="{FF2B5EF4-FFF2-40B4-BE49-F238E27FC236}">
              <a16:creationId xmlns:a16="http://schemas.microsoft.com/office/drawing/2014/main" id="{51D406B8-DEF5-4E6E-8D68-6CECF0176F5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07299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304800" cy="302284"/>
    <xdr:sp macro="" textlink="">
      <xdr:nvSpPr>
        <xdr:cNvPr id="6182" name="AutoShape 10" descr="Wasps">
          <a:extLst>
            <a:ext uri="{FF2B5EF4-FFF2-40B4-BE49-F238E27FC236}">
              <a16:creationId xmlns:a16="http://schemas.microsoft.com/office/drawing/2014/main" id="{5093E7CA-B170-4BF2-B91A-033BCB98CF7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304800" cy="302284"/>
    <xdr:sp macro="" textlink="">
      <xdr:nvSpPr>
        <xdr:cNvPr id="6183" name="AutoShape 10" descr="Wasps">
          <a:extLst>
            <a:ext uri="{FF2B5EF4-FFF2-40B4-BE49-F238E27FC236}">
              <a16:creationId xmlns:a16="http://schemas.microsoft.com/office/drawing/2014/main" id="{C48B14A5-58A6-49AF-8FC7-3DCB5E0D7AC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2627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304800" cy="302284"/>
    <xdr:sp macro="" textlink="">
      <xdr:nvSpPr>
        <xdr:cNvPr id="6184" name="AutoShape 10" descr="Wasps">
          <a:extLst>
            <a:ext uri="{FF2B5EF4-FFF2-40B4-BE49-F238E27FC236}">
              <a16:creationId xmlns:a16="http://schemas.microsoft.com/office/drawing/2014/main" id="{D1432F44-E633-4D2D-B364-F242939FAF0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304800" cy="302284"/>
    <xdr:sp macro="" textlink="">
      <xdr:nvSpPr>
        <xdr:cNvPr id="6185" name="AutoShape 10" descr="Wasps">
          <a:extLst>
            <a:ext uri="{FF2B5EF4-FFF2-40B4-BE49-F238E27FC236}">
              <a16:creationId xmlns:a16="http://schemas.microsoft.com/office/drawing/2014/main" id="{042F3DFB-D80C-46D7-B040-F5D119A1B5E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4525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6186" name="AutoShape 10" descr="Wasps">
          <a:extLst>
            <a:ext uri="{FF2B5EF4-FFF2-40B4-BE49-F238E27FC236}">
              <a16:creationId xmlns:a16="http://schemas.microsoft.com/office/drawing/2014/main" id="{44D3D9F3-30A6-472C-9F6F-D821C10D481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6187" name="AutoShape 10" descr="Wasps">
          <a:extLst>
            <a:ext uri="{FF2B5EF4-FFF2-40B4-BE49-F238E27FC236}">
              <a16:creationId xmlns:a16="http://schemas.microsoft.com/office/drawing/2014/main" id="{AB74A99F-4D3F-42C0-A7D3-B98275E5844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642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6188" name="AutoShape 10" descr="Wasps">
          <a:extLst>
            <a:ext uri="{FF2B5EF4-FFF2-40B4-BE49-F238E27FC236}">
              <a16:creationId xmlns:a16="http://schemas.microsoft.com/office/drawing/2014/main" id="{BD0B7B78-5C51-4227-9EEE-29D78253C9E9}"/>
            </a:ext>
          </a:extLst>
        </xdr:cNvPr>
        <xdr:cNvSpPr>
          <a:spLocks noChangeAspect="1" noChangeArrowheads="1"/>
        </xdr:cNvSpPr>
      </xdr:nvSpPr>
      <xdr:spPr bwMode="auto">
        <a:xfrm>
          <a:off x="6599208" y="6832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304800" cy="302284"/>
    <xdr:sp macro="" textlink="">
      <xdr:nvSpPr>
        <xdr:cNvPr id="6189" name="AutoShape 11" descr="Gloucester Rugby">
          <a:extLst>
            <a:ext uri="{FF2B5EF4-FFF2-40B4-BE49-F238E27FC236}">
              <a16:creationId xmlns:a16="http://schemas.microsoft.com/office/drawing/2014/main" id="{9F926A29-5347-46EB-8C41-F724B335CB1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8599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304800" cy="302284"/>
    <xdr:sp macro="" textlink="">
      <xdr:nvSpPr>
        <xdr:cNvPr id="6190" name="AutoShape 10" descr="Wasps">
          <a:extLst>
            <a:ext uri="{FF2B5EF4-FFF2-40B4-BE49-F238E27FC236}">
              <a16:creationId xmlns:a16="http://schemas.microsoft.com/office/drawing/2014/main" id="{9275D6BC-4E7C-42D8-AD3A-CC507AAAFFA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778102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9585</xdr:colOff>
      <xdr:row>37</xdr:row>
      <xdr:rowOff>19170</xdr:rowOff>
    </xdr:from>
    <xdr:ext cx="304800" cy="302284"/>
    <xdr:sp macro="" textlink="">
      <xdr:nvSpPr>
        <xdr:cNvPr id="6191" name="AutoShape 10" descr="Wasps">
          <a:extLst>
            <a:ext uri="{FF2B5EF4-FFF2-40B4-BE49-F238E27FC236}">
              <a16:creationId xmlns:a16="http://schemas.microsoft.com/office/drawing/2014/main" id="{DFF4BC53-401A-4C65-B31C-26EF0EFC0931}"/>
            </a:ext>
          </a:extLst>
        </xdr:cNvPr>
        <xdr:cNvSpPr>
          <a:spLocks noChangeAspect="1" noChangeArrowheads="1"/>
        </xdr:cNvSpPr>
      </xdr:nvSpPr>
      <xdr:spPr bwMode="auto">
        <a:xfrm>
          <a:off x="6747774" y="730369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6192" name="AutoShape 10" descr="Wasps">
          <a:extLst>
            <a:ext uri="{FF2B5EF4-FFF2-40B4-BE49-F238E27FC236}">
              <a16:creationId xmlns:a16="http://schemas.microsoft.com/office/drawing/2014/main" id="{D6141A4D-5450-4A38-8A15-33C1C4D08AFE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41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6193" name="AutoShape 10" descr="Wasps">
          <a:extLst>
            <a:ext uri="{FF2B5EF4-FFF2-40B4-BE49-F238E27FC236}">
              <a16:creationId xmlns:a16="http://schemas.microsoft.com/office/drawing/2014/main" id="{67202B63-A2DF-4BB5-A554-A84BD9620D1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41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6194" name="AutoShape 10" descr="Wasps">
          <a:extLst>
            <a:ext uri="{FF2B5EF4-FFF2-40B4-BE49-F238E27FC236}">
              <a16:creationId xmlns:a16="http://schemas.microsoft.com/office/drawing/2014/main" id="{5A75CD0F-6E2A-4A4A-B9DD-58D96A39EC23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41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304800" cy="302284"/>
    <xdr:sp macro="" textlink="">
      <xdr:nvSpPr>
        <xdr:cNvPr id="6195" name="AutoShape 10" descr="Wasps">
          <a:extLst>
            <a:ext uri="{FF2B5EF4-FFF2-40B4-BE49-F238E27FC236}">
              <a16:creationId xmlns:a16="http://schemas.microsoft.com/office/drawing/2014/main" id="{8989028F-F802-471D-8235-A22DC3A8CA4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3417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6196" name="AutoShape 10" descr="Wasps">
          <a:extLst>
            <a:ext uri="{FF2B5EF4-FFF2-40B4-BE49-F238E27FC236}">
              <a16:creationId xmlns:a16="http://schemas.microsoft.com/office/drawing/2014/main" id="{582260C4-E7E6-4E11-9AA3-0E999A887050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315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6197" name="AutoShape 10" descr="Wasps">
          <a:extLst>
            <a:ext uri="{FF2B5EF4-FFF2-40B4-BE49-F238E27FC236}">
              <a16:creationId xmlns:a16="http://schemas.microsoft.com/office/drawing/2014/main" id="{354D56A2-BCBF-434D-8617-103D774D2C58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5315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2284"/>
    <xdr:sp macro="" textlink="">
      <xdr:nvSpPr>
        <xdr:cNvPr id="6198" name="AutoShape 10" descr="Wasps">
          <a:extLst>
            <a:ext uri="{FF2B5EF4-FFF2-40B4-BE49-F238E27FC236}">
              <a16:creationId xmlns:a16="http://schemas.microsoft.com/office/drawing/2014/main" id="{27D80C91-7EFB-4E65-A39A-01AB9B65D7C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13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2284"/>
    <xdr:sp macro="" textlink="">
      <xdr:nvSpPr>
        <xdr:cNvPr id="6199" name="AutoShape 10" descr="Wasps">
          <a:extLst>
            <a:ext uri="{FF2B5EF4-FFF2-40B4-BE49-F238E27FC236}">
              <a16:creationId xmlns:a16="http://schemas.microsoft.com/office/drawing/2014/main" id="{EE05710B-08E8-460B-B64D-32FC13A578CF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7213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6200" name="AutoShape 10" descr="Wasps">
          <a:extLst>
            <a:ext uri="{FF2B5EF4-FFF2-40B4-BE49-F238E27FC236}">
              <a16:creationId xmlns:a16="http://schemas.microsoft.com/office/drawing/2014/main" id="{041CD7CF-7DC9-4B9A-A602-970A458573A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10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6201" name="AutoShape 10" descr="Wasps">
          <a:extLst>
            <a:ext uri="{FF2B5EF4-FFF2-40B4-BE49-F238E27FC236}">
              <a16:creationId xmlns:a16="http://schemas.microsoft.com/office/drawing/2014/main" id="{B3C63504-2085-4F87-8D40-B78BAD1A61C7}"/>
            </a:ext>
          </a:extLst>
        </xdr:cNvPr>
        <xdr:cNvSpPr>
          <a:spLocks noChangeAspect="1" noChangeArrowheads="1"/>
        </xdr:cNvSpPr>
      </xdr:nvSpPr>
      <xdr:spPr bwMode="auto">
        <a:xfrm>
          <a:off x="6599208" y="89110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6202" name="AutoShape 10" descr="Wasps">
          <a:extLst>
            <a:ext uri="{FF2B5EF4-FFF2-40B4-BE49-F238E27FC236}">
              <a16:creationId xmlns:a16="http://schemas.microsoft.com/office/drawing/2014/main" id="{DDB1B03E-B400-40D9-A632-19FB8E9A7BE4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08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6203" name="AutoShape 10" descr="Wasps">
          <a:extLst>
            <a:ext uri="{FF2B5EF4-FFF2-40B4-BE49-F238E27FC236}">
              <a16:creationId xmlns:a16="http://schemas.microsoft.com/office/drawing/2014/main" id="{D0AF73EF-D6FE-4F0A-BDE4-8C0CF09DD166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1008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304800" cy="302284"/>
    <xdr:sp macro="" textlink="">
      <xdr:nvSpPr>
        <xdr:cNvPr id="6204" name="AutoShape 10" descr="Wasps">
          <a:extLst>
            <a:ext uri="{FF2B5EF4-FFF2-40B4-BE49-F238E27FC236}">
              <a16:creationId xmlns:a16="http://schemas.microsoft.com/office/drawing/2014/main" id="{28508B5A-DEC1-4C96-A70E-C1F196B98AEB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06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304800" cy="302284"/>
    <xdr:sp macro="" textlink="">
      <xdr:nvSpPr>
        <xdr:cNvPr id="6205" name="AutoShape 10" descr="Wasps">
          <a:extLst>
            <a:ext uri="{FF2B5EF4-FFF2-40B4-BE49-F238E27FC236}">
              <a16:creationId xmlns:a16="http://schemas.microsoft.com/office/drawing/2014/main" id="{6F63ADAD-FB8D-4E52-9A83-A9A6EB7E9E82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2906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304800" cy="302284"/>
    <xdr:sp macro="" textlink="">
      <xdr:nvSpPr>
        <xdr:cNvPr id="6206" name="AutoShape 10" descr="Wasps">
          <a:extLst>
            <a:ext uri="{FF2B5EF4-FFF2-40B4-BE49-F238E27FC236}">
              <a16:creationId xmlns:a16="http://schemas.microsoft.com/office/drawing/2014/main" id="{A76592B0-FBDF-4414-AFB9-0D00AFD41391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04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304800" cy="302284"/>
    <xdr:sp macro="" textlink="">
      <xdr:nvSpPr>
        <xdr:cNvPr id="6207" name="AutoShape 10" descr="Wasps">
          <a:extLst>
            <a:ext uri="{FF2B5EF4-FFF2-40B4-BE49-F238E27FC236}">
              <a16:creationId xmlns:a16="http://schemas.microsoft.com/office/drawing/2014/main" id="{6A2238B9-AE58-4682-8D98-2CB9FEBCBFDA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4804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304800" cy="302284"/>
    <xdr:sp macro="" textlink="">
      <xdr:nvSpPr>
        <xdr:cNvPr id="6208" name="AutoShape 10" descr="Wasps">
          <a:extLst>
            <a:ext uri="{FF2B5EF4-FFF2-40B4-BE49-F238E27FC236}">
              <a16:creationId xmlns:a16="http://schemas.microsoft.com/office/drawing/2014/main" id="{A4BAE769-DED6-401C-A8C3-2D51F104452C}"/>
            </a:ext>
          </a:extLst>
        </xdr:cNvPr>
        <xdr:cNvSpPr>
          <a:spLocks noChangeAspect="1" noChangeArrowheads="1"/>
        </xdr:cNvSpPr>
      </xdr:nvSpPr>
      <xdr:spPr bwMode="auto">
        <a:xfrm>
          <a:off x="6599208" y="96702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304800" cy="302284"/>
    <xdr:sp macro="" textlink="">
      <xdr:nvSpPr>
        <xdr:cNvPr id="6209" name="AutoShape 2" descr="Exeter Chiefs">
          <a:extLst>
            <a:ext uri="{FF2B5EF4-FFF2-40B4-BE49-F238E27FC236}">
              <a16:creationId xmlns:a16="http://schemas.microsoft.com/office/drawing/2014/main" id="{3DB1187F-F469-4D8B-9664-0F040E00A7FD}"/>
            </a:ext>
          </a:extLst>
        </xdr:cNvPr>
        <xdr:cNvSpPr>
          <a:spLocks noChangeAspect="1" noChangeArrowheads="1"/>
        </xdr:cNvSpPr>
      </xdr:nvSpPr>
      <xdr:spPr bwMode="auto">
        <a:xfrm>
          <a:off x="7108166" y="6038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2284"/>
    <xdr:sp macro="" textlink="">
      <xdr:nvSpPr>
        <xdr:cNvPr id="6210" name="AutoShape 3" descr="Harlequins">
          <a:extLst>
            <a:ext uri="{FF2B5EF4-FFF2-40B4-BE49-F238E27FC236}">
              <a16:creationId xmlns:a16="http://schemas.microsoft.com/office/drawing/2014/main" id="{66A50970-CAF6-4B7A-ABE3-0D9AC5094B35}"/>
            </a:ext>
          </a:extLst>
        </xdr:cNvPr>
        <xdr:cNvSpPr>
          <a:spLocks noChangeAspect="1" noChangeArrowheads="1"/>
        </xdr:cNvSpPr>
      </xdr:nvSpPr>
      <xdr:spPr bwMode="auto">
        <a:xfrm>
          <a:off x="7108166" y="810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2284"/>
    <xdr:sp macro="" textlink="">
      <xdr:nvSpPr>
        <xdr:cNvPr id="6211" name="AutoShape 4" descr="Sale Sharks">
          <a:extLst>
            <a:ext uri="{FF2B5EF4-FFF2-40B4-BE49-F238E27FC236}">
              <a16:creationId xmlns:a16="http://schemas.microsoft.com/office/drawing/2014/main" id="{009418E7-619B-4F17-A5E1-A5D8215347D5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0179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2284"/>
    <xdr:sp macro="" textlink="">
      <xdr:nvSpPr>
        <xdr:cNvPr id="6212" name="AutoShape 5" descr="Northampton Saints">
          <a:extLst>
            <a:ext uri="{FF2B5EF4-FFF2-40B4-BE49-F238E27FC236}">
              <a16:creationId xmlns:a16="http://schemas.microsoft.com/office/drawing/2014/main" id="{D13AC848-FB02-4277-AE00-8DD8F1E7BE06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2249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02284"/>
    <xdr:sp macro="" textlink="">
      <xdr:nvSpPr>
        <xdr:cNvPr id="6213" name="AutoShape 6" descr="London Irish">
          <a:extLst>
            <a:ext uri="{FF2B5EF4-FFF2-40B4-BE49-F238E27FC236}">
              <a16:creationId xmlns:a16="http://schemas.microsoft.com/office/drawing/2014/main" id="{F259D11A-56C3-42CA-8E3A-0AE5B49F5EFD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4319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02284"/>
    <xdr:sp macro="" textlink="">
      <xdr:nvSpPr>
        <xdr:cNvPr id="6214" name="AutoShape 7" descr="Leicester Tigers">
          <a:extLst>
            <a:ext uri="{FF2B5EF4-FFF2-40B4-BE49-F238E27FC236}">
              <a16:creationId xmlns:a16="http://schemas.microsoft.com/office/drawing/2014/main" id="{5BA719FC-5C3B-4448-9324-0AB73EE53D07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6390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2284"/>
    <xdr:sp macro="" textlink="">
      <xdr:nvSpPr>
        <xdr:cNvPr id="6215" name="AutoShape 8" descr="Newcastle Falcons">
          <a:extLst>
            <a:ext uri="{FF2B5EF4-FFF2-40B4-BE49-F238E27FC236}">
              <a16:creationId xmlns:a16="http://schemas.microsoft.com/office/drawing/2014/main" id="{4B8F3DBB-E6F3-48AA-AAF9-F85CD01BBCEB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8460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11</xdr:row>
      <xdr:rowOff>19050</xdr:rowOff>
    </xdr:from>
    <xdr:ext cx="298150" cy="302284"/>
    <xdr:sp macro="" textlink="">
      <xdr:nvSpPr>
        <xdr:cNvPr id="6216" name="AutoShape 9" descr="Bath Rugby">
          <a:extLst>
            <a:ext uri="{FF2B5EF4-FFF2-40B4-BE49-F238E27FC236}">
              <a16:creationId xmlns:a16="http://schemas.microsoft.com/office/drawing/2014/main" id="{B91C850C-F5DA-49E0-94B6-CEC34CBC49C6}"/>
            </a:ext>
          </a:extLst>
        </xdr:cNvPr>
        <xdr:cNvSpPr>
          <a:spLocks noChangeAspect="1" noChangeArrowheads="1"/>
        </xdr:cNvSpPr>
      </xdr:nvSpPr>
      <xdr:spPr bwMode="auto">
        <a:xfrm>
          <a:off x="7105291" y="2072137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12</xdr:row>
      <xdr:rowOff>0</xdr:rowOff>
    </xdr:from>
    <xdr:ext cx="304800" cy="302284"/>
    <xdr:sp macro="" textlink="">
      <xdr:nvSpPr>
        <xdr:cNvPr id="6217" name="AutoShape 10" descr="Wasps">
          <a:extLst>
            <a:ext uri="{FF2B5EF4-FFF2-40B4-BE49-F238E27FC236}">
              <a16:creationId xmlns:a16="http://schemas.microsoft.com/office/drawing/2014/main" id="{8B8671D2-1BB4-4DA3-9F8F-246CEAC48E9F}"/>
            </a:ext>
          </a:extLst>
        </xdr:cNvPr>
        <xdr:cNvSpPr>
          <a:spLocks noChangeAspect="1" noChangeArrowheads="1"/>
        </xdr:cNvSpPr>
      </xdr:nvSpPr>
      <xdr:spPr bwMode="auto">
        <a:xfrm>
          <a:off x="7108166" y="2260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12</xdr:row>
      <xdr:rowOff>0</xdr:rowOff>
    </xdr:from>
    <xdr:ext cx="304800" cy="302284"/>
    <xdr:sp macro="" textlink="">
      <xdr:nvSpPr>
        <xdr:cNvPr id="6218" name="AutoShape 11" descr="Gloucester Rugby">
          <a:extLst>
            <a:ext uri="{FF2B5EF4-FFF2-40B4-BE49-F238E27FC236}">
              <a16:creationId xmlns:a16="http://schemas.microsoft.com/office/drawing/2014/main" id="{9E71D377-C9DA-44C8-B0E9-58F241DF4512}"/>
            </a:ext>
          </a:extLst>
        </xdr:cNvPr>
        <xdr:cNvSpPr>
          <a:spLocks noChangeAspect="1" noChangeArrowheads="1"/>
        </xdr:cNvSpPr>
      </xdr:nvSpPr>
      <xdr:spPr bwMode="auto">
        <a:xfrm>
          <a:off x="7108166" y="2260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304800" cy="302284"/>
    <xdr:sp macro="" textlink="">
      <xdr:nvSpPr>
        <xdr:cNvPr id="6219" name="AutoShape 2" descr="Exeter Chiefs">
          <a:extLst>
            <a:ext uri="{FF2B5EF4-FFF2-40B4-BE49-F238E27FC236}">
              <a16:creationId xmlns:a16="http://schemas.microsoft.com/office/drawing/2014/main" id="{65B11647-D602-4302-AF97-27B93E76D466}"/>
            </a:ext>
          </a:extLst>
        </xdr:cNvPr>
        <xdr:cNvSpPr>
          <a:spLocks noChangeAspect="1" noChangeArrowheads="1"/>
        </xdr:cNvSpPr>
      </xdr:nvSpPr>
      <xdr:spPr bwMode="auto">
        <a:xfrm>
          <a:off x="7108166" y="6038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2284"/>
    <xdr:sp macro="" textlink="">
      <xdr:nvSpPr>
        <xdr:cNvPr id="6220" name="AutoShape 3" descr="Harlequins">
          <a:extLst>
            <a:ext uri="{FF2B5EF4-FFF2-40B4-BE49-F238E27FC236}">
              <a16:creationId xmlns:a16="http://schemas.microsoft.com/office/drawing/2014/main" id="{D8399F6F-57A5-4E69-BAA0-6BB0827EA1AC}"/>
            </a:ext>
          </a:extLst>
        </xdr:cNvPr>
        <xdr:cNvSpPr>
          <a:spLocks noChangeAspect="1" noChangeArrowheads="1"/>
        </xdr:cNvSpPr>
      </xdr:nvSpPr>
      <xdr:spPr bwMode="auto">
        <a:xfrm>
          <a:off x="7108166" y="810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2284"/>
    <xdr:sp macro="" textlink="">
      <xdr:nvSpPr>
        <xdr:cNvPr id="6221" name="AutoShape 4" descr="Sale Sharks">
          <a:extLst>
            <a:ext uri="{FF2B5EF4-FFF2-40B4-BE49-F238E27FC236}">
              <a16:creationId xmlns:a16="http://schemas.microsoft.com/office/drawing/2014/main" id="{DC03CD89-8A4C-45B3-BA4B-3D7A1F066AB1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0179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2284"/>
    <xdr:sp macro="" textlink="">
      <xdr:nvSpPr>
        <xdr:cNvPr id="6222" name="AutoShape 5" descr="Northampton Saints">
          <a:extLst>
            <a:ext uri="{FF2B5EF4-FFF2-40B4-BE49-F238E27FC236}">
              <a16:creationId xmlns:a16="http://schemas.microsoft.com/office/drawing/2014/main" id="{4E437E10-BF94-4317-992D-CA02F7D12F29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2249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02284"/>
    <xdr:sp macro="" textlink="">
      <xdr:nvSpPr>
        <xdr:cNvPr id="6223" name="AutoShape 6" descr="London Irish">
          <a:extLst>
            <a:ext uri="{FF2B5EF4-FFF2-40B4-BE49-F238E27FC236}">
              <a16:creationId xmlns:a16="http://schemas.microsoft.com/office/drawing/2014/main" id="{22B5E7A1-17D8-40C7-982C-310DBAD7B508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4319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02284"/>
    <xdr:sp macro="" textlink="">
      <xdr:nvSpPr>
        <xdr:cNvPr id="6224" name="AutoShape 7" descr="Leicester Tigers">
          <a:extLst>
            <a:ext uri="{FF2B5EF4-FFF2-40B4-BE49-F238E27FC236}">
              <a16:creationId xmlns:a16="http://schemas.microsoft.com/office/drawing/2014/main" id="{144607EB-9642-45A7-B53C-636CC773CF4E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6390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2284"/>
    <xdr:sp macro="" textlink="">
      <xdr:nvSpPr>
        <xdr:cNvPr id="6225" name="AutoShape 8" descr="Newcastle Falcons">
          <a:extLst>
            <a:ext uri="{FF2B5EF4-FFF2-40B4-BE49-F238E27FC236}">
              <a16:creationId xmlns:a16="http://schemas.microsoft.com/office/drawing/2014/main" id="{26C591ED-E336-4F61-8B75-CBC733708019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8460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609600</xdr:colOff>
      <xdr:row>11</xdr:row>
      <xdr:rowOff>19050</xdr:rowOff>
    </xdr:from>
    <xdr:ext cx="298150" cy="302284"/>
    <xdr:sp macro="" textlink="">
      <xdr:nvSpPr>
        <xdr:cNvPr id="6226" name="AutoShape 9" descr="Bath Rugby">
          <a:extLst>
            <a:ext uri="{FF2B5EF4-FFF2-40B4-BE49-F238E27FC236}">
              <a16:creationId xmlns:a16="http://schemas.microsoft.com/office/drawing/2014/main" id="{280502B6-BB68-4417-8B6A-B026FF94C48B}"/>
            </a:ext>
          </a:extLst>
        </xdr:cNvPr>
        <xdr:cNvSpPr>
          <a:spLocks noChangeAspect="1" noChangeArrowheads="1"/>
        </xdr:cNvSpPr>
      </xdr:nvSpPr>
      <xdr:spPr bwMode="auto">
        <a:xfrm>
          <a:off x="7105291" y="2072137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12</xdr:row>
      <xdr:rowOff>0</xdr:rowOff>
    </xdr:from>
    <xdr:ext cx="304800" cy="302284"/>
    <xdr:sp macro="" textlink="">
      <xdr:nvSpPr>
        <xdr:cNvPr id="6227" name="AutoShape 10" descr="Wasps">
          <a:extLst>
            <a:ext uri="{FF2B5EF4-FFF2-40B4-BE49-F238E27FC236}">
              <a16:creationId xmlns:a16="http://schemas.microsoft.com/office/drawing/2014/main" id="{0D220B30-B426-4803-A42A-0C97AEB58B3F}"/>
            </a:ext>
          </a:extLst>
        </xdr:cNvPr>
        <xdr:cNvSpPr>
          <a:spLocks noChangeAspect="1" noChangeArrowheads="1"/>
        </xdr:cNvSpPr>
      </xdr:nvSpPr>
      <xdr:spPr bwMode="auto">
        <a:xfrm>
          <a:off x="7108166" y="2260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17</xdr:row>
      <xdr:rowOff>0</xdr:rowOff>
    </xdr:from>
    <xdr:ext cx="304800" cy="302284"/>
    <xdr:sp macro="" textlink="">
      <xdr:nvSpPr>
        <xdr:cNvPr id="6228" name="AutoShape 2" descr="Exeter Chiefs">
          <a:extLst>
            <a:ext uri="{FF2B5EF4-FFF2-40B4-BE49-F238E27FC236}">
              <a16:creationId xmlns:a16="http://schemas.microsoft.com/office/drawing/2014/main" id="{4F49BD37-1C46-4FFF-95B0-9DEA5F6F8CB2}"/>
            </a:ext>
          </a:extLst>
        </xdr:cNvPr>
        <xdr:cNvSpPr>
          <a:spLocks noChangeAspect="1" noChangeArrowheads="1"/>
        </xdr:cNvSpPr>
      </xdr:nvSpPr>
      <xdr:spPr bwMode="auto">
        <a:xfrm>
          <a:off x="7108166" y="6038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18</xdr:row>
      <xdr:rowOff>0</xdr:rowOff>
    </xdr:from>
    <xdr:ext cx="304800" cy="302284"/>
    <xdr:sp macro="" textlink="">
      <xdr:nvSpPr>
        <xdr:cNvPr id="6229" name="AutoShape 3" descr="Harlequins">
          <a:extLst>
            <a:ext uri="{FF2B5EF4-FFF2-40B4-BE49-F238E27FC236}">
              <a16:creationId xmlns:a16="http://schemas.microsoft.com/office/drawing/2014/main" id="{B638B5E1-C293-4033-B6B2-E1A591FCCA71}"/>
            </a:ext>
          </a:extLst>
        </xdr:cNvPr>
        <xdr:cNvSpPr>
          <a:spLocks noChangeAspect="1" noChangeArrowheads="1"/>
        </xdr:cNvSpPr>
      </xdr:nvSpPr>
      <xdr:spPr bwMode="auto">
        <a:xfrm>
          <a:off x="7108166" y="810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6230" name="AutoShape 4" descr="Sale Sharks">
          <a:extLst>
            <a:ext uri="{FF2B5EF4-FFF2-40B4-BE49-F238E27FC236}">
              <a16:creationId xmlns:a16="http://schemas.microsoft.com/office/drawing/2014/main" id="{F07A21C2-F5DA-4DD3-BFCA-3275558622CC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0179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6231" name="AutoShape 5" descr="Northampton Saints">
          <a:extLst>
            <a:ext uri="{FF2B5EF4-FFF2-40B4-BE49-F238E27FC236}">
              <a16:creationId xmlns:a16="http://schemas.microsoft.com/office/drawing/2014/main" id="{2D321E9C-C924-4BCC-80D5-B0DE7ACD290A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2249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6232" name="AutoShape 6" descr="London Irish">
          <a:extLst>
            <a:ext uri="{FF2B5EF4-FFF2-40B4-BE49-F238E27FC236}">
              <a16:creationId xmlns:a16="http://schemas.microsoft.com/office/drawing/2014/main" id="{7260CB17-E879-4696-9306-D8363CF5439D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4319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2284"/>
    <xdr:sp macro="" textlink="">
      <xdr:nvSpPr>
        <xdr:cNvPr id="6233" name="AutoShape 7" descr="Leicester Tigers">
          <a:extLst>
            <a:ext uri="{FF2B5EF4-FFF2-40B4-BE49-F238E27FC236}">
              <a16:creationId xmlns:a16="http://schemas.microsoft.com/office/drawing/2014/main" id="{B168DA85-A78D-4EC2-BA23-0E51E32733A0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6390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6234" name="AutoShape 8" descr="Newcastle Falcons">
          <a:extLst>
            <a:ext uri="{FF2B5EF4-FFF2-40B4-BE49-F238E27FC236}">
              <a16:creationId xmlns:a16="http://schemas.microsoft.com/office/drawing/2014/main" id="{DDA4C838-0795-4CEB-BEE1-C0188D3ABBCC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8460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95849</xdr:colOff>
      <xdr:row>17</xdr:row>
      <xdr:rowOff>57509</xdr:rowOff>
    </xdr:from>
    <xdr:ext cx="304800" cy="302284"/>
    <xdr:sp macro="" textlink="">
      <xdr:nvSpPr>
        <xdr:cNvPr id="6238" name="AutoShape 2" descr="Exeter Chiefs">
          <a:extLst>
            <a:ext uri="{FF2B5EF4-FFF2-40B4-BE49-F238E27FC236}">
              <a16:creationId xmlns:a16="http://schemas.microsoft.com/office/drawing/2014/main" id="{151AD2DF-509F-4632-9520-7A55AF7B39E7}"/>
            </a:ext>
          </a:extLst>
        </xdr:cNvPr>
        <xdr:cNvSpPr>
          <a:spLocks noChangeAspect="1" noChangeArrowheads="1"/>
        </xdr:cNvSpPr>
      </xdr:nvSpPr>
      <xdr:spPr bwMode="auto">
        <a:xfrm>
          <a:off x="11981132" y="331637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18</xdr:row>
      <xdr:rowOff>0</xdr:rowOff>
    </xdr:from>
    <xdr:ext cx="304800" cy="302284"/>
    <xdr:sp macro="" textlink="">
      <xdr:nvSpPr>
        <xdr:cNvPr id="6239" name="AutoShape 3" descr="Harlequins">
          <a:extLst>
            <a:ext uri="{FF2B5EF4-FFF2-40B4-BE49-F238E27FC236}">
              <a16:creationId xmlns:a16="http://schemas.microsoft.com/office/drawing/2014/main" id="{63AD9186-97D0-43B5-B197-5EE545B97F21}"/>
            </a:ext>
          </a:extLst>
        </xdr:cNvPr>
        <xdr:cNvSpPr>
          <a:spLocks noChangeAspect="1" noChangeArrowheads="1"/>
        </xdr:cNvSpPr>
      </xdr:nvSpPr>
      <xdr:spPr bwMode="auto">
        <a:xfrm>
          <a:off x="7108166" y="810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6240" name="AutoShape 4" descr="Sale Sharks">
          <a:extLst>
            <a:ext uri="{FF2B5EF4-FFF2-40B4-BE49-F238E27FC236}">
              <a16:creationId xmlns:a16="http://schemas.microsoft.com/office/drawing/2014/main" id="{7A3E021C-358E-4612-9775-8AE21BF4D3A4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0179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6241" name="AutoShape 5" descr="Northampton Saints">
          <a:extLst>
            <a:ext uri="{FF2B5EF4-FFF2-40B4-BE49-F238E27FC236}">
              <a16:creationId xmlns:a16="http://schemas.microsoft.com/office/drawing/2014/main" id="{15C074FC-A4BC-479E-B0A5-2E1F825844DA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2249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6242" name="AutoShape 6" descr="London Irish">
          <a:extLst>
            <a:ext uri="{FF2B5EF4-FFF2-40B4-BE49-F238E27FC236}">
              <a16:creationId xmlns:a16="http://schemas.microsoft.com/office/drawing/2014/main" id="{BA407EE6-600A-4C25-B47A-304FE999EB76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4319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2284"/>
    <xdr:sp macro="" textlink="">
      <xdr:nvSpPr>
        <xdr:cNvPr id="6243" name="AutoShape 7" descr="Leicester Tigers">
          <a:extLst>
            <a:ext uri="{FF2B5EF4-FFF2-40B4-BE49-F238E27FC236}">
              <a16:creationId xmlns:a16="http://schemas.microsoft.com/office/drawing/2014/main" id="{B1B7A86D-872F-432F-8CFC-A149313AB173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6390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6244" name="AutoShape 8" descr="Newcastle Falcons">
          <a:extLst>
            <a:ext uri="{FF2B5EF4-FFF2-40B4-BE49-F238E27FC236}">
              <a16:creationId xmlns:a16="http://schemas.microsoft.com/office/drawing/2014/main" id="{2C66B1ED-CC1E-40E0-81D3-CA6C355EDD6D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8460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28</xdr:row>
      <xdr:rowOff>0</xdr:rowOff>
    </xdr:from>
    <xdr:ext cx="304800" cy="302284"/>
    <xdr:sp macro="" textlink="">
      <xdr:nvSpPr>
        <xdr:cNvPr id="6247" name="AutoShape 2" descr="Exeter Chiefs">
          <a:extLst>
            <a:ext uri="{FF2B5EF4-FFF2-40B4-BE49-F238E27FC236}">
              <a16:creationId xmlns:a16="http://schemas.microsoft.com/office/drawing/2014/main" id="{34ECBA28-D432-4944-9306-2C59882F9290}"/>
            </a:ext>
          </a:extLst>
        </xdr:cNvPr>
        <xdr:cNvSpPr>
          <a:spLocks noChangeAspect="1" noChangeArrowheads="1"/>
        </xdr:cNvSpPr>
      </xdr:nvSpPr>
      <xdr:spPr bwMode="auto">
        <a:xfrm>
          <a:off x="7108166" y="6038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29</xdr:row>
      <xdr:rowOff>0</xdr:rowOff>
    </xdr:from>
    <xdr:ext cx="304800" cy="302284"/>
    <xdr:sp macro="" textlink="">
      <xdr:nvSpPr>
        <xdr:cNvPr id="6248" name="AutoShape 3" descr="Harlequins">
          <a:extLst>
            <a:ext uri="{FF2B5EF4-FFF2-40B4-BE49-F238E27FC236}">
              <a16:creationId xmlns:a16="http://schemas.microsoft.com/office/drawing/2014/main" id="{40C147F0-FCEF-401A-9B44-66365876CE18}"/>
            </a:ext>
          </a:extLst>
        </xdr:cNvPr>
        <xdr:cNvSpPr>
          <a:spLocks noChangeAspect="1" noChangeArrowheads="1"/>
        </xdr:cNvSpPr>
      </xdr:nvSpPr>
      <xdr:spPr bwMode="auto">
        <a:xfrm>
          <a:off x="7108166" y="810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30</xdr:row>
      <xdr:rowOff>0</xdr:rowOff>
    </xdr:from>
    <xdr:ext cx="304800" cy="302284"/>
    <xdr:sp macro="" textlink="">
      <xdr:nvSpPr>
        <xdr:cNvPr id="6249" name="AutoShape 4" descr="Sale Sharks">
          <a:extLst>
            <a:ext uri="{FF2B5EF4-FFF2-40B4-BE49-F238E27FC236}">
              <a16:creationId xmlns:a16="http://schemas.microsoft.com/office/drawing/2014/main" id="{D4AF691F-BB11-453E-BC3E-6D48BA150357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01791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0</xdr:rowOff>
    </xdr:from>
    <xdr:ext cx="304800" cy="302284"/>
    <xdr:sp macro="" textlink="">
      <xdr:nvSpPr>
        <xdr:cNvPr id="6250" name="AutoShape 5" descr="Northampton Saints">
          <a:extLst>
            <a:ext uri="{FF2B5EF4-FFF2-40B4-BE49-F238E27FC236}">
              <a16:creationId xmlns:a16="http://schemas.microsoft.com/office/drawing/2014/main" id="{53CB46A2-E25A-412A-B367-FD15CADC0B32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2249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32</xdr:row>
      <xdr:rowOff>0</xdr:rowOff>
    </xdr:from>
    <xdr:ext cx="304800" cy="302284"/>
    <xdr:sp macro="" textlink="">
      <xdr:nvSpPr>
        <xdr:cNvPr id="6251" name="AutoShape 6" descr="London Irish">
          <a:extLst>
            <a:ext uri="{FF2B5EF4-FFF2-40B4-BE49-F238E27FC236}">
              <a16:creationId xmlns:a16="http://schemas.microsoft.com/office/drawing/2014/main" id="{B7F4909F-5735-46AF-BD83-49985A0170ED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4319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6252" name="AutoShape 7" descr="Leicester Tigers">
          <a:extLst>
            <a:ext uri="{FF2B5EF4-FFF2-40B4-BE49-F238E27FC236}">
              <a16:creationId xmlns:a16="http://schemas.microsoft.com/office/drawing/2014/main" id="{D271E728-CBE9-416E-902B-FB3DE5D7E145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6390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6253" name="AutoShape 8" descr="Newcastle Falcons">
          <a:extLst>
            <a:ext uri="{FF2B5EF4-FFF2-40B4-BE49-F238E27FC236}">
              <a16:creationId xmlns:a16="http://schemas.microsoft.com/office/drawing/2014/main" id="{0C488F28-21D5-4C24-AB26-E03A1171CC61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8460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36</xdr:row>
      <xdr:rowOff>0</xdr:rowOff>
    </xdr:from>
    <xdr:ext cx="304800" cy="302284"/>
    <xdr:sp macro="" textlink="">
      <xdr:nvSpPr>
        <xdr:cNvPr id="6255" name="AutoShape 10" descr="Wasps">
          <a:extLst>
            <a:ext uri="{FF2B5EF4-FFF2-40B4-BE49-F238E27FC236}">
              <a16:creationId xmlns:a16="http://schemas.microsoft.com/office/drawing/2014/main" id="{CF1F9C00-EE83-4DAF-8B5C-15A673D40749}"/>
            </a:ext>
          </a:extLst>
        </xdr:cNvPr>
        <xdr:cNvSpPr>
          <a:spLocks noChangeAspect="1" noChangeArrowheads="1"/>
        </xdr:cNvSpPr>
      </xdr:nvSpPr>
      <xdr:spPr bwMode="auto">
        <a:xfrm>
          <a:off x="7108166" y="226012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1216325</xdr:colOff>
      <xdr:row>44</xdr:row>
      <xdr:rowOff>120770</xdr:rowOff>
    </xdr:from>
    <xdr:ext cx="304800" cy="302284"/>
    <xdr:sp macro="" textlink="">
      <xdr:nvSpPr>
        <xdr:cNvPr id="6256" name="AutoShape 11" descr="Gloucester Rugby">
          <a:extLst>
            <a:ext uri="{FF2B5EF4-FFF2-40B4-BE49-F238E27FC236}">
              <a16:creationId xmlns:a16="http://schemas.microsoft.com/office/drawing/2014/main" id="{267EA407-3EA4-43DE-A00F-861902ABD371}"/>
            </a:ext>
          </a:extLst>
        </xdr:cNvPr>
        <xdr:cNvSpPr>
          <a:spLocks noChangeAspect="1" noChangeArrowheads="1"/>
        </xdr:cNvSpPr>
      </xdr:nvSpPr>
      <xdr:spPr bwMode="auto">
        <a:xfrm>
          <a:off x="4459857" y="84711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28</xdr:row>
      <xdr:rowOff>0</xdr:rowOff>
    </xdr:from>
    <xdr:ext cx="304800" cy="302284"/>
    <xdr:sp macro="" textlink="">
      <xdr:nvSpPr>
        <xdr:cNvPr id="6257" name="AutoShape 2" descr="Exeter Chiefs">
          <a:extLst>
            <a:ext uri="{FF2B5EF4-FFF2-40B4-BE49-F238E27FC236}">
              <a16:creationId xmlns:a16="http://schemas.microsoft.com/office/drawing/2014/main" id="{C9BDAD29-9AC9-4CF1-85A3-583D997AD485}"/>
            </a:ext>
          </a:extLst>
        </xdr:cNvPr>
        <xdr:cNvSpPr>
          <a:spLocks noChangeAspect="1" noChangeArrowheads="1"/>
        </xdr:cNvSpPr>
      </xdr:nvSpPr>
      <xdr:spPr bwMode="auto">
        <a:xfrm>
          <a:off x="7108166" y="6038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29</xdr:row>
      <xdr:rowOff>0</xdr:rowOff>
    </xdr:from>
    <xdr:ext cx="304800" cy="302284"/>
    <xdr:sp macro="" textlink="">
      <xdr:nvSpPr>
        <xdr:cNvPr id="6258" name="AutoShape 3" descr="Harlequins">
          <a:extLst>
            <a:ext uri="{FF2B5EF4-FFF2-40B4-BE49-F238E27FC236}">
              <a16:creationId xmlns:a16="http://schemas.microsoft.com/office/drawing/2014/main" id="{A29B0CFC-806F-441D-A0BD-8C7901316EE8}"/>
            </a:ext>
          </a:extLst>
        </xdr:cNvPr>
        <xdr:cNvSpPr>
          <a:spLocks noChangeAspect="1" noChangeArrowheads="1"/>
        </xdr:cNvSpPr>
      </xdr:nvSpPr>
      <xdr:spPr bwMode="auto">
        <a:xfrm>
          <a:off x="7108166" y="8108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21168</xdr:colOff>
      <xdr:row>30</xdr:row>
      <xdr:rowOff>0</xdr:rowOff>
    </xdr:from>
    <xdr:ext cx="304800" cy="302284"/>
    <xdr:sp macro="" textlink="">
      <xdr:nvSpPr>
        <xdr:cNvPr id="6259" name="AutoShape 4" descr="Sale Sharks">
          <a:extLst>
            <a:ext uri="{FF2B5EF4-FFF2-40B4-BE49-F238E27FC236}">
              <a16:creationId xmlns:a16="http://schemas.microsoft.com/office/drawing/2014/main" id="{3020E913-F7E6-4153-968F-F042F8938F1A}"/>
            </a:ext>
          </a:extLst>
        </xdr:cNvPr>
        <xdr:cNvSpPr>
          <a:spLocks noChangeAspect="1" noChangeArrowheads="1"/>
        </xdr:cNvSpPr>
      </xdr:nvSpPr>
      <xdr:spPr bwMode="auto">
        <a:xfrm>
          <a:off x="11479390" y="590550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0</xdr:rowOff>
    </xdr:from>
    <xdr:ext cx="304800" cy="302284"/>
    <xdr:sp macro="" textlink="">
      <xdr:nvSpPr>
        <xdr:cNvPr id="6260" name="AutoShape 5" descr="Northampton Saints">
          <a:extLst>
            <a:ext uri="{FF2B5EF4-FFF2-40B4-BE49-F238E27FC236}">
              <a16:creationId xmlns:a16="http://schemas.microsoft.com/office/drawing/2014/main" id="{6C2B5A68-8A3C-4ADA-9AF5-7F6C0FA03DAF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22495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32</xdr:row>
      <xdr:rowOff>0</xdr:rowOff>
    </xdr:from>
    <xdr:ext cx="304800" cy="302284"/>
    <xdr:sp macro="" textlink="">
      <xdr:nvSpPr>
        <xdr:cNvPr id="6261" name="AutoShape 6" descr="London Irish">
          <a:extLst>
            <a:ext uri="{FF2B5EF4-FFF2-40B4-BE49-F238E27FC236}">
              <a16:creationId xmlns:a16="http://schemas.microsoft.com/office/drawing/2014/main" id="{6C4A0923-A932-49E3-AF54-B02D627866BF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43198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33</xdr:row>
      <xdr:rowOff>0</xdr:rowOff>
    </xdr:from>
    <xdr:ext cx="304800" cy="302284"/>
    <xdr:sp macro="" textlink="">
      <xdr:nvSpPr>
        <xdr:cNvPr id="6262" name="AutoShape 7" descr="Leicester Tigers">
          <a:extLst>
            <a:ext uri="{FF2B5EF4-FFF2-40B4-BE49-F238E27FC236}">
              <a16:creationId xmlns:a16="http://schemas.microsoft.com/office/drawing/2014/main" id="{7B582DA9-D7F8-4ACF-B135-1627AD09A8E6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63901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304800" cy="302284"/>
    <xdr:sp macro="" textlink="">
      <xdr:nvSpPr>
        <xdr:cNvPr id="6263" name="AutoShape 8" descr="Newcastle Falcons">
          <a:extLst>
            <a:ext uri="{FF2B5EF4-FFF2-40B4-BE49-F238E27FC236}">
              <a16:creationId xmlns:a16="http://schemas.microsoft.com/office/drawing/2014/main" id="{908DDD21-FB23-4D44-9B7A-91584794D2D8}"/>
            </a:ext>
          </a:extLst>
        </xdr:cNvPr>
        <xdr:cNvSpPr>
          <a:spLocks noChangeAspect="1" noChangeArrowheads="1"/>
        </xdr:cNvSpPr>
      </xdr:nvSpPr>
      <xdr:spPr bwMode="auto">
        <a:xfrm>
          <a:off x="7108166" y="184605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34113</xdr:colOff>
      <xdr:row>55</xdr:row>
      <xdr:rowOff>157223</xdr:rowOff>
    </xdr:from>
    <xdr:ext cx="302284" cy="298150"/>
    <xdr:sp macro="" textlink="">
      <xdr:nvSpPr>
        <xdr:cNvPr id="35" name="AutoShape 9" descr="Bath Rugby">
          <a:extLst>
            <a:ext uri="{FF2B5EF4-FFF2-40B4-BE49-F238E27FC236}">
              <a16:creationId xmlns:a16="http://schemas.microsoft.com/office/drawing/2014/main" id="{CA85E290-9CD2-4445-A8EB-A08918DD8BF9}"/>
            </a:ext>
          </a:extLst>
        </xdr:cNvPr>
        <xdr:cNvSpPr>
          <a:spLocks noChangeAspect="1" noChangeArrowheads="1"/>
        </xdr:cNvSpPr>
      </xdr:nvSpPr>
      <xdr:spPr bwMode="auto">
        <a:xfrm rot="15277580">
          <a:off x="36180" y="1021355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115019</xdr:colOff>
      <xdr:row>64</xdr:row>
      <xdr:rowOff>19050</xdr:rowOff>
    </xdr:from>
    <xdr:ext cx="298150" cy="302284"/>
    <xdr:sp macro="" textlink="">
      <xdr:nvSpPr>
        <xdr:cNvPr id="54" name="AutoShape 9" descr="Bath Rugby">
          <a:extLst>
            <a:ext uri="{FF2B5EF4-FFF2-40B4-BE49-F238E27FC236}">
              <a16:creationId xmlns:a16="http://schemas.microsoft.com/office/drawing/2014/main" id="{BA1BF950-83CC-4121-A41A-18FDF9C3C6CE}"/>
            </a:ext>
          </a:extLst>
        </xdr:cNvPr>
        <xdr:cNvSpPr>
          <a:spLocks noChangeAspect="1" noChangeArrowheads="1"/>
        </xdr:cNvSpPr>
      </xdr:nvSpPr>
      <xdr:spPr bwMode="auto">
        <a:xfrm>
          <a:off x="14827849" y="787867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17</xdr:row>
      <xdr:rowOff>0</xdr:rowOff>
    </xdr:from>
    <xdr:ext cx="304800" cy="303002"/>
    <xdr:sp macro="" textlink="">
      <xdr:nvSpPr>
        <xdr:cNvPr id="6145" name="AutoShape 2" descr="Exeter Chiefs">
          <a:extLst>
            <a:ext uri="{FF2B5EF4-FFF2-40B4-BE49-F238E27FC236}">
              <a16:creationId xmlns:a16="http://schemas.microsoft.com/office/drawing/2014/main" id="{8ED4E732-C63D-48DF-8682-95B1B48D5F8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18</xdr:row>
      <xdr:rowOff>0</xdr:rowOff>
    </xdr:from>
    <xdr:ext cx="304800" cy="303003"/>
    <xdr:sp macro="" textlink="">
      <xdr:nvSpPr>
        <xdr:cNvPr id="6266" name="AutoShape 3" descr="Harlequins">
          <a:extLst>
            <a:ext uri="{FF2B5EF4-FFF2-40B4-BE49-F238E27FC236}">
              <a16:creationId xmlns:a16="http://schemas.microsoft.com/office/drawing/2014/main" id="{6613114B-870C-4F93-93C4-46E1A9A0D40B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3003"/>
    <xdr:sp macro="" textlink="">
      <xdr:nvSpPr>
        <xdr:cNvPr id="6267" name="AutoShape 4" descr="Sale Sharks">
          <a:extLst>
            <a:ext uri="{FF2B5EF4-FFF2-40B4-BE49-F238E27FC236}">
              <a16:creationId xmlns:a16="http://schemas.microsoft.com/office/drawing/2014/main" id="{C715618D-A1FA-4FA4-AFDD-E40A6E13AFC2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3003"/>
    <xdr:sp macro="" textlink="">
      <xdr:nvSpPr>
        <xdr:cNvPr id="6268" name="AutoShape 5" descr="Northampton Saints">
          <a:extLst>
            <a:ext uri="{FF2B5EF4-FFF2-40B4-BE49-F238E27FC236}">
              <a16:creationId xmlns:a16="http://schemas.microsoft.com/office/drawing/2014/main" id="{75AE8B60-D52B-4F5D-9DB9-B6D6F02DA3DE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3003"/>
    <xdr:sp macro="" textlink="">
      <xdr:nvSpPr>
        <xdr:cNvPr id="6269" name="AutoShape 6" descr="London Irish">
          <a:extLst>
            <a:ext uri="{FF2B5EF4-FFF2-40B4-BE49-F238E27FC236}">
              <a16:creationId xmlns:a16="http://schemas.microsoft.com/office/drawing/2014/main" id="{4B0FB9EF-134E-48AE-9DC7-34FD227AB531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3003"/>
    <xdr:sp macro="" textlink="">
      <xdr:nvSpPr>
        <xdr:cNvPr id="6270" name="AutoShape 7" descr="Leicester Tigers">
          <a:extLst>
            <a:ext uri="{FF2B5EF4-FFF2-40B4-BE49-F238E27FC236}">
              <a16:creationId xmlns:a16="http://schemas.microsoft.com/office/drawing/2014/main" id="{13A866AE-55AE-4942-BC32-D1A7AFB23C6B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3003"/>
    <xdr:sp macro="" textlink="">
      <xdr:nvSpPr>
        <xdr:cNvPr id="6271" name="AutoShape 8" descr="Newcastle Falcons">
          <a:extLst>
            <a:ext uri="{FF2B5EF4-FFF2-40B4-BE49-F238E27FC236}">
              <a16:creationId xmlns:a16="http://schemas.microsoft.com/office/drawing/2014/main" id="{53BF6B62-50C3-4427-9535-179DBD78813C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17</xdr:row>
      <xdr:rowOff>0</xdr:rowOff>
    </xdr:from>
    <xdr:ext cx="304800" cy="302284"/>
    <xdr:sp macro="" textlink="">
      <xdr:nvSpPr>
        <xdr:cNvPr id="6272" name="AutoShape 2" descr="Exeter Chiefs">
          <a:extLst>
            <a:ext uri="{FF2B5EF4-FFF2-40B4-BE49-F238E27FC236}">
              <a16:creationId xmlns:a16="http://schemas.microsoft.com/office/drawing/2014/main" id="{954A0E8B-25A8-49D3-9833-45CC18EDBA2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18</xdr:row>
      <xdr:rowOff>0</xdr:rowOff>
    </xdr:from>
    <xdr:ext cx="304800" cy="302284"/>
    <xdr:sp macro="" textlink="">
      <xdr:nvSpPr>
        <xdr:cNvPr id="6273" name="AutoShape 3" descr="Harlequins">
          <a:extLst>
            <a:ext uri="{FF2B5EF4-FFF2-40B4-BE49-F238E27FC236}">
              <a16:creationId xmlns:a16="http://schemas.microsoft.com/office/drawing/2014/main" id="{4BD85CCE-D254-4EA3-A334-10C6AA0840C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6274" name="AutoShape 4" descr="Sale Sharks">
          <a:extLst>
            <a:ext uri="{FF2B5EF4-FFF2-40B4-BE49-F238E27FC236}">
              <a16:creationId xmlns:a16="http://schemas.microsoft.com/office/drawing/2014/main" id="{9693798E-4036-471C-9EAC-710E6688C1F0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6275" name="AutoShape 5" descr="Northampton Saints">
          <a:extLst>
            <a:ext uri="{FF2B5EF4-FFF2-40B4-BE49-F238E27FC236}">
              <a16:creationId xmlns:a16="http://schemas.microsoft.com/office/drawing/2014/main" id="{79D076E1-3F3F-480C-83B8-79F458CA2796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6276" name="AutoShape 6" descr="London Irish">
          <a:extLst>
            <a:ext uri="{FF2B5EF4-FFF2-40B4-BE49-F238E27FC236}">
              <a16:creationId xmlns:a16="http://schemas.microsoft.com/office/drawing/2014/main" id="{607B34EF-1393-4852-8B07-991792793BD9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22</xdr:row>
      <xdr:rowOff>0</xdr:rowOff>
    </xdr:from>
    <xdr:ext cx="304800" cy="302284"/>
    <xdr:sp macro="" textlink="">
      <xdr:nvSpPr>
        <xdr:cNvPr id="6277" name="AutoShape 7" descr="Leicester Tigers">
          <a:extLst>
            <a:ext uri="{FF2B5EF4-FFF2-40B4-BE49-F238E27FC236}">
              <a16:creationId xmlns:a16="http://schemas.microsoft.com/office/drawing/2014/main" id="{DFACC37D-94D8-4E95-BEE2-607FB27C1FE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23</xdr:row>
      <xdr:rowOff>0</xdr:rowOff>
    </xdr:from>
    <xdr:ext cx="304800" cy="302284"/>
    <xdr:sp macro="" textlink="">
      <xdr:nvSpPr>
        <xdr:cNvPr id="6278" name="AutoShape 8" descr="Newcastle Falcons">
          <a:extLst>
            <a:ext uri="{FF2B5EF4-FFF2-40B4-BE49-F238E27FC236}">
              <a16:creationId xmlns:a16="http://schemas.microsoft.com/office/drawing/2014/main" id="{50695AB3-8AC6-4948-B874-FA119264A14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17</xdr:row>
      <xdr:rowOff>0</xdr:rowOff>
    </xdr:from>
    <xdr:ext cx="304800" cy="302284"/>
    <xdr:sp macro="" textlink="">
      <xdr:nvSpPr>
        <xdr:cNvPr id="6279" name="AutoShape 2" descr="Exeter Chiefs">
          <a:extLst>
            <a:ext uri="{FF2B5EF4-FFF2-40B4-BE49-F238E27FC236}">
              <a16:creationId xmlns:a16="http://schemas.microsoft.com/office/drawing/2014/main" id="{F4058676-4D22-4871-83D0-9107AD4BAB22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18</xdr:row>
      <xdr:rowOff>0</xdr:rowOff>
    </xdr:from>
    <xdr:ext cx="304800" cy="302284"/>
    <xdr:sp macro="" textlink="">
      <xdr:nvSpPr>
        <xdr:cNvPr id="6280" name="AutoShape 3" descr="Harlequins">
          <a:extLst>
            <a:ext uri="{FF2B5EF4-FFF2-40B4-BE49-F238E27FC236}">
              <a16:creationId xmlns:a16="http://schemas.microsoft.com/office/drawing/2014/main" id="{89DD47C6-434E-4F6C-BAE5-56F74F3627FE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304800" cy="302284"/>
    <xdr:sp macro="" textlink="">
      <xdr:nvSpPr>
        <xdr:cNvPr id="6281" name="AutoShape 4" descr="Sale Sharks">
          <a:extLst>
            <a:ext uri="{FF2B5EF4-FFF2-40B4-BE49-F238E27FC236}">
              <a16:creationId xmlns:a16="http://schemas.microsoft.com/office/drawing/2014/main" id="{EC1D141B-BFDC-4066-9F58-66F86B4B55ED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0</xdr:rowOff>
    </xdr:from>
    <xdr:ext cx="304800" cy="302284"/>
    <xdr:sp macro="" textlink="">
      <xdr:nvSpPr>
        <xdr:cNvPr id="6282" name="AutoShape 5" descr="Northampton Saints">
          <a:extLst>
            <a:ext uri="{FF2B5EF4-FFF2-40B4-BE49-F238E27FC236}">
              <a16:creationId xmlns:a16="http://schemas.microsoft.com/office/drawing/2014/main" id="{994D1CB1-C184-4850-915C-BF099971E91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0</xdr:rowOff>
    </xdr:from>
    <xdr:ext cx="304800" cy="302284"/>
    <xdr:sp macro="" textlink="">
      <xdr:nvSpPr>
        <xdr:cNvPr id="6283" name="AutoShape 6" descr="London Irish">
          <a:extLst>
            <a:ext uri="{FF2B5EF4-FFF2-40B4-BE49-F238E27FC236}">
              <a16:creationId xmlns:a16="http://schemas.microsoft.com/office/drawing/2014/main" id="{79945054-2AF3-4545-B724-68938D036E34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304800" cy="303002"/>
    <xdr:sp macro="" textlink="">
      <xdr:nvSpPr>
        <xdr:cNvPr id="6286" name="AutoShape 2" descr="Exeter Chiefs">
          <a:extLst>
            <a:ext uri="{FF2B5EF4-FFF2-40B4-BE49-F238E27FC236}">
              <a16:creationId xmlns:a16="http://schemas.microsoft.com/office/drawing/2014/main" id="{1C627126-81B4-46D9-8BE4-70BD049588FF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3003"/>
    <xdr:sp macro="" textlink="">
      <xdr:nvSpPr>
        <xdr:cNvPr id="6287" name="AutoShape 3" descr="Harlequins">
          <a:extLst>
            <a:ext uri="{FF2B5EF4-FFF2-40B4-BE49-F238E27FC236}">
              <a16:creationId xmlns:a16="http://schemas.microsoft.com/office/drawing/2014/main" id="{169B820C-22DD-4E8A-B32C-02A84223D268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3003"/>
    <xdr:sp macro="" textlink="">
      <xdr:nvSpPr>
        <xdr:cNvPr id="6288" name="AutoShape 4" descr="Sale Sharks">
          <a:extLst>
            <a:ext uri="{FF2B5EF4-FFF2-40B4-BE49-F238E27FC236}">
              <a16:creationId xmlns:a16="http://schemas.microsoft.com/office/drawing/2014/main" id="{E9A94D05-17C0-42CB-B321-ED8DBB44D036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3003"/>
    <xdr:sp macro="" textlink="">
      <xdr:nvSpPr>
        <xdr:cNvPr id="6289" name="AutoShape 5" descr="Northampton Saints">
          <a:extLst>
            <a:ext uri="{FF2B5EF4-FFF2-40B4-BE49-F238E27FC236}">
              <a16:creationId xmlns:a16="http://schemas.microsoft.com/office/drawing/2014/main" id="{0A5648D1-5450-4CFF-82D3-D835152CDB7B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03003"/>
    <xdr:sp macro="" textlink="">
      <xdr:nvSpPr>
        <xdr:cNvPr id="6290" name="AutoShape 6" descr="London Irish">
          <a:extLst>
            <a:ext uri="{FF2B5EF4-FFF2-40B4-BE49-F238E27FC236}">
              <a16:creationId xmlns:a16="http://schemas.microsoft.com/office/drawing/2014/main" id="{7A4868BA-2F26-4B68-8440-C976007D0D08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03003"/>
    <xdr:sp macro="" textlink="">
      <xdr:nvSpPr>
        <xdr:cNvPr id="6291" name="AutoShape 7" descr="Leicester Tigers">
          <a:extLst>
            <a:ext uri="{FF2B5EF4-FFF2-40B4-BE49-F238E27FC236}">
              <a16:creationId xmlns:a16="http://schemas.microsoft.com/office/drawing/2014/main" id="{5F384834-1220-4097-A241-885F4A7AF8CE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3003"/>
    <xdr:sp macro="" textlink="">
      <xdr:nvSpPr>
        <xdr:cNvPr id="6292" name="AutoShape 8" descr="Newcastle Falcons">
          <a:extLst>
            <a:ext uri="{FF2B5EF4-FFF2-40B4-BE49-F238E27FC236}">
              <a16:creationId xmlns:a16="http://schemas.microsoft.com/office/drawing/2014/main" id="{2A719C8E-EC19-4400-B37E-9789E7E3E3BF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172530</xdr:colOff>
      <xdr:row>39</xdr:row>
      <xdr:rowOff>103518</xdr:rowOff>
    </xdr:from>
    <xdr:ext cx="304800" cy="302284"/>
    <xdr:sp macro="" textlink="">
      <xdr:nvSpPr>
        <xdr:cNvPr id="6293" name="AutoShape 2" descr="Exeter Chiefs">
          <a:extLst>
            <a:ext uri="{FF2B5EF4-FFF2-40B4-BE49-F238E27FC236}">
              <a16:creationId xmlns:a16="http://schemas.microsoft.com/office/drawing/2014/main" id="{06D14471-D99B-4F5F-B04F-24D65416D0B8}"/>
            </a:ext>
          </a:extLst>
        </xdr:cNvPr>
        <xdr:cNvSpPr>
          <a:spLocks noChangeAspect="1" noChangeArrowheads="1"/>
        </xdr:cNvSpPr>
      </xdr:nvSpPr>
      <xdr:spPr bwMode="auto">
        <a:xfrm>
          <a:off x="3088258" y="750498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2284"/>
    <xdr:sp macro="" textlink="">
      <xdr:nvSpPr>
        <xdr:cNvPr id="6294" name="AutoShape 3" descr="Harlequins">
          <a:extLst>
            <a:ext uri="{FF2B5EF4-FFF2-40B4-BE49-F238E27FC236}">
              <a16:creationId xmlns:a16="http://schemas.microsoft.com/office/drawing/2014/main" id="{162C8409-A331-41BA-802C-CCEF6CC36C64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2284"/>
    <xdr:sp macro="" textlink="">
      <xdr:nvSpPr>
        <xdr:cNvPr id="6295" name="AutoShape 4" descr="Sale Sharks">
          <a:extLst>
            <a:ext uri="{FF2B5EF4-FFF2-40B4-BE49-F238E27FC236}">
              <a16:creationId xmlns:a16="http://schemas.microsoft.com/office/drawing/2014/main" id="{D601BD5E-62F7-440E-87D2-A565EB8A2616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2284"/>
    <xdr:sp macro="" textlink="">
      <xdr:nvSpPr>
        <xdr:cNvPr id="6296" name="AutoShape 5" descr="Northampton Saints">
          <a:extLst>
            <a:ext uri="{FF2B5EF4-FFF2-40B4-BE49-F238E27FC236}">
              <a16:creationId xmlns:a16="http://schemas.microsoft.com/office/drawing/2014/main" id="{738A02AB-8A14-4C67-9B86-1A143C428729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02284"/>
    <xdr:sp macro="" textlink="">
      <xdr:nvSpPr>
        <xdr:cNvPr id="6297" name="AutoShape 6" descr="London Irish">
          <a:extLst>
            <a:ext uri="{FF2B5EF4-FFF2-40B4-BE49-F238E27FC236}">
              <a16:creationId xmlns:a16="http://schemas.microsoft.com/office/drawing/2014/main" id="{28B8F7AE-54A1-467A-9795-C195EE36A97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02284"/>
    <xdr:sp macro="" textlink="">
      <xdr:nvSpPr>
        <xdr:cNvPr id="6298" name="AutoShape 7" descr="Leicester Tigers">
          <a:extLst>
            <a:ext uri="{FF2B5EF4-FFF2-40B4-BE49-F238E27FC236}">
              <a16:creationId xmlns:a16="http://schemas.microsoft.com/office/drawing/2014/main" id="{1C23E4D5-2B7E-4189-8CAA-442E6CAC141C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2284"/>
    <xdr:sp macro="" textlink="">
      <xdr:nvSpPr>
        <xdr:cNvPr id="6299" name="AutoShape 8" descr="Newcastle Falcons">
          <a:extLst>
            <a:ext uri="{FF2B5EF4-FFF2-40B4-BE49-F238E27FC236}">
              <a16:creationId xmlns:a16="http://schemas.microsoft.com/office/drawing/2014/main" id="{C5489D68-5078-4ABA-8A75-513D46314C9B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284672</xdr:colOff>
      <xdr:row>7</xdr:row>
      <xdr:rowOff>25880</xdr:rowOff>
    </xdr:from>
    <xdr:ext cx="304800" cy="302284"/>
    <xdr:sp macro="" textlink="">
      <xdr:nvSpPr>
        <xdr:cNvPr id="6300" name="AutoShape 2" descr="Exeter Chiefs">
          <a:extLst>
            <a:ext uri="{FF2B5EF4-FFF2-40B4-BE49-F238E27FC236}">
              <a16:creationId xmlns:a16="http://schemas.microsoft.com/office/drawing/2014/main" id="{C7406350-8BA1-4D01-96EE-E65CA0DCAB39}"/>
            </a:ext>
          </a:extLst>
        </xdr:cNvPr>
        <xdr:cNvSpPr>
          <a:spLocks noChangeAspect="1" noChangeArrowheads="1"/>
        </xdr:cNvSpPr>
      </xdr:nvSpPr>
      <xdr:spPr bwMode="auto">
        <a:xfrm>
          <a:off x="10299940" y="135434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2284"/>
    <xdr:sp macro="" textlink="">
      <xdr:nvSpPr>
        <xdr:cNvPr id="6301" name="AutoShape 3" descr="Harlequins">
          <a:extLst>
            <a:ext uri="{FF2B5EF4-FFF2-40B4-BE49-F238E27FC236}">
              <a16:creationId xmlns:a16="http://schemas.microsoft.com/office/drawing/2014/main" id="{75FF32B5-386A-4742-9E87-F97D5B2C28BF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2284"/>
    <xdr:sp macro="" textlink="">
      <xdr:nvSpPr>
        <xdr:cNvPr id="6302" name="AutoShape 4" descr="Sale Sharks">
          <a:extLst>
            <a:ext uri="{FF2B5EF4-FFF2-40B4-BE49-F238E27FC236}">
              <a16:creationId xmlns:a16="http://schemas.microsoft.com/office/drawing/2014/main" id="{AEE0466B-3BE7-458E-A581-65A68020E2E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2284"/>
    <xdr:sp macro="" textlink="">
      <xdr:nvSpPr>
        <xdr:cNvPr id="6303" name="AutoShape 5" descr="Northampton Saints">
          <a:extLst>
            <a:ext uri="{FF2B5EF4-FFF2-40B4-BE49-F238E27FC236}">
              <a16:creationId xmlns:a16="http://schemas.microsoft.com/office/drawing/2014/main" id="{6EAC0A49-0223-4047-ACF8-CE66AF5D17F9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304800" cy="302284"/>
    <xdr:sp macro="" textlink="">
      <xdr:nvSpPr>
        <xdr:cNvPr id="6304" name="AutoShape 6" descr="London Irish">
          <a:extLst>
            <a:ext uri="{FF2B5EF4-FFF2-40B4-BE49-F238E27FC236}">
              <a16:creationId xmlns:a16="http://schemas.microsoft.com/office/drawing/2014/main" id="{9B9920D6-494B-4BBD-82BE-EB32A824CE4E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0</xdr:rowOff>
    </xdr:from>
    <xdr:ext cx="304800" cy="302284"/>
    <xdr:sp macro="" textlink="">
      <xdr:nvSpPr>
        <xdr:cNvPr id="6305" name="AutoShape 7" descr="Leicester Tigers">
          <a:extLst>
            <a:ext uri="{FF2B5EF4-FFF2-40B4-BE49-F238E27FC236}">
              <a16:creationId xmlns:a16="http://schemas.microsoft.com/office/drawing/2014/main" id="{4093475A-77ED-4D73-8F80-315F1A8FF5F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2284"/>
    <xdr:sp macro="" textlink="">
      <xdr:nvSpPr>
        <xdr:cNvPr id="6306" name="AutoShape 8" descr="Newcastle Falcons">
          <a:extLst>
            <a:ext uri="{FF2B5EF4-FFF2-40B4-BE49-F238E27FC236}">
              <a16:creationId xmlns:a16="http://schemas.microsoft.com/office/drawing/2014/main" id="{AD2A872C-5F23-4598-ABB1-34CBFCEB683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0</xdr:rowOff>
    </xdr:from>
    <xdr:ext cx="304800" cy="303002"/>
    <xdr:sp macro="" textlink="">
      <xdr:nvSpPr>
        <xdr:cNvPr id="6307" name="AutoShape 2" descr="Exeter Chiefs">
          <a:extLst>
            <a:ext uri="{FF2B5EF4-FFF2-40B4-BE49-F238E27FC236}">
              <a16:creationId xmlns:a16="http://schemas.microsoft.com/office/drawing/2014/main" id="{AF94ACF3-FC57-4AFC-9170-E19694EB6B0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3003"/>
    <xdr:sp macro="" textlink="">
      <xdr:nvSpPr>
        <xdr:cNvPr id="6308" name="AutoShape 3" descr="Harlequins">
          <a:extLst>
            <a:ext uri="{FF2B5EF4-FFF2-40B4-BE49-F238E27FC236}">
              <a16:creationId xmlns:a16="http://schemas.microsoft.com/office/drawing/2014/main" id="{F03B27CE-DCC8-4E00-B7EF-0E001BB83CFD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3003"/>
    <xdr:sp macro="" textlink="">
      <xdr:nvSpPr>
        <xdr:cNvPr id="6309" name="AutoShape 4" descr="Sale Sharks">
          <a:extLst>
            <a:ext uri="{FF2B5EF4-FFF2-40B4-BE49-F238E27FC236}">
              <a16:creationId xmlns:a16="http://schemas.microsoft.com/office/drawing/2014/main" id="{14ECF744-86BB-4BAD-9549-81CF58E20393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303003"/>
    <xdr:sp macro="" textlink="">
      <xdr:nvSpPr>
        <xdr:cNvPr id="6310" name="AutoShape 5" descr="Northampton Saints">
          <a:extLst>
            <a:ext uri="{FF2B5EF4-FFF2-40B4-BE49-F238E27FC236}">
              <a16:creationId xmlns:a16="http://schemas.microsoft.com/office/drawing/2014/main" id="{B1F29E89-B212-4956-9CF4-D6D5C65E7EE8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303003"/>
    <xdr:sp macro="" textlink="">
      <xdr:nvSpPr>
        <xdr:cNvPr id="6311" name="AutoShape 6" descr="London Irish">
          <a:extLst>
            <a:ext uri="{FF2B5EF4-FFF2-40B4-BE49-F238E27FC236}">
              <a16:creationId xmlns:a16="http://schemas.microsoft.com/office/drawing/2014/main" id="{B1054537-F912-4C80-AF01-5942DD2AA6D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3003"/>
    <xdr:sp macro="" textlink="">
      <xdr:nvSpPr>
        <xdr:cNvPr id="6312" name="AutoShape 7" descr="Leicester Tigers">
          <a:extLst>
            <a:ext uri="{FF2B5EF4-FFF2-40B4-BE49-F238E27FC236}">
              <a16:creationId xmlns:a16="http://schemas.microsoft.com/office/drawing/2014/main" id="{9041BD4C-20BF-4AC5-8C08-E3234D3E5550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303003"/>
    <xdr:sp macro="" textlink="">
      <xdr:nvSpPr>
        <xdr:cNvPr id="6313" name="AutoShape 8" descr="Newcastle Falcons">
          <a:extLst>
            <a:ext uri="{FF2B5EF4-FFF2-40B4-BE49-F238E27FC236}">
              <a16:creationId xmlns:a16="http://schemas.microsoft.com/office/drawing/2014/main" id="{AE9C7938-41D7-420A-B4BD-7869104151A2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0</xdr:rowOff>
    </xdr:from>
    <xdr:ext cx="304800" cy="302284"/>
    <xdr:sp macro="" textlink="">
      <xdr:nvSpPr>
        <xdr:cNvPr id="6314" name="AutoShape 2" descr="Exeter Chiefs">
          <a:extLst>
            <a:ext uri="{FF2B5EF4-FFF2-40B4-BE49-F238E27FC236}">
              <a16:creationId xmlns:a16="http://schemas.microsoft.com/office/drawing/2014/main" id="{8B07795C-4F1C-4F3B-8FC4-5876A4A3E7F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2284"/>
    <xdr:sp macro="" textlink="">
      <xdr:nvSpPr>
        <xdr:cNvPr id="6315" name="AutoShape 3" descr="Harlequins">
          <a:extLst>
            <a:ext uri="{FF2B5EF4-FFF2-40B4-BE49-F238E27FC236}">
              <a16:creationId xmlns:a16="http://schemas.microsoft.com/office/drawing/2014/main" id="{249C3C49-AD71-4CCC-827E-8F6F663485AF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2284"/>
    <xdr:sp macro="" textlink="">
      <xdr:nvSpPr>
        <xdr:cNvPr id="6316" name="AutoShape 4" descr="Sale Sharks">
          <a:extLst>
            <a:ext uri="{FF2B5EF4-FFF2-40B4-BE49-F238E27FC236}">
              <a16:creationId xmlns:a16="http://schemas.microsoft.com/office/drawing/2014/main" id="{12E68D08-D4A3-4415-9D89-833358B4480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302284"/>
    <xdr:sp macro="" textlink="">
      <xdr:nvSpPr>
        <xdr:cNvPr id="6317" name="AutoShape 5" descr="Northampton Saints">
          <a:extLst>
            <a:ext uri="{FF2B5EF4-FFF2-40B4-BE49-F238E27FC236}">
              <a16:creationId xmlns:a16="http://schemas.microsoft.com/office/drawing/2014/main" id="{E9C337BB-2323-4763-B09C-3FAACF18A6DB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304800" cy="302284"/>
    <xdr:sp macro="" textlink="">
      <xdr:nvSpPr>
        <xdr:cNvPr id="6318" name="AutoShape 6" descr="London Irish">
          <a:extLst>
            <a:ext uri="{FF2B5EF4-FFF2-40B4-BE49-F238E27FC236}">
              <a16:creationId xmlns:a16="http://schemas.microsoft.com/office/drawing/2014/main" id="{A6FD3109-6274-40E0-A862-D801D5E3A314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2284"/>
    <xdr:sp macro="" textlink="">
      <xdr:nvSpPr>
        <xdr:cNvPr id="6319" name="AutoShape 7" descr="Leicester Tigers">
          <a:extLst>
            <a:ext uri="{FF2B5EF4-FFF2-40B4-BE49-F238E27FC236}">
              <a16:creationId xmlns:a16="http://schemas.microsoft.com/office/drawing/2014/main" id="{15D58AB5-E6D4-40F5-A8EC-3B52C5442873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302284"/>
    <xdr:sp macro="" textlink="">
      <xdr:nvSpPr>
        <xdr:cNvPr id="6320" name="AutoShape 8" descr="Newcastle Falcons">
          <a:extLst>
            <a:ext uri="{FF2B5EF4-FFF2-40B4-BE49-F238E27FC236}">
              <a16:creationId xmlns:a16="http://schemas.microsoft.com/office/drawing/2014/main" id="{70164330-355C-4FFF-B930-C2BDEA8E5314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0</xdr:rowOff>
    </xdr:from>
    <xdr:ext cx="304800" cy="302284"/>
    <xdr:sp macro="" textlink="">
      <xdr:nvSpPr>
        <xdr:cNvPr id="6321" name="AutoShape 2" descr="Exeter Chiefs">
          <a:extLst>
            <a:ext uri="{FF2B5EF4-FFF2-40B4-BE49-F238E27FC236}">
              <a16:creationId xmlns:a16="http://schemas.microsoft.com/office/drawing/2014/main" id="{81305050-36CA-4F3F-8086-5CDA0A252142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0</xdr:rowOff>
    </xdr:from>
    <xdr:ext cx="304800" cy="302284"/>
    <xdr:sp macro="" textlink="">
      <xdr:nvSpPr>
        <xdr:cNvPr id="6322" name="AutoShape 3" descr="Harlequins">
          <a:extLst>
            <a:ext uri="{FF2B5EF4-FFF2-40B4-BE49-F238E27FC236}">
              <a16:creationId xmlns:a16="http://schemas.microsoft.com/office/drawing/2014/main" id="{88139A38-CFE0-4866-818F-D18CF5A58C6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304800" cy="302284"/>
    <xdr:sp macro="" textlink="">
      <xdr:nvSpPr>
        <xdr:cNvPr id="6323" name="AutoShape 4" descr="Sale Sharks">
          <a:extLst>
            <a:ext uri="{FF2B5EF4-FFF2-40B4-BE49-F238E27FC236}">
              <a16:creationId xmlns:a16="http://schemas.microsoft.com/office/drawing/2014/main" id="{58C0A369-8B6C-49A5-9E4C-7E12F95667EC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304800" cy="302284"/>
    <xdr:sp macro="" textlink="">
      <xdr:nvSpPr>
        <xdr:cNvPr id="6324" name="AutoShape 5" descr="Northampton Saints">
          <a:extLst>
            <a:ext uri="{FF2B5EF4-FFF2-40B4-BE49-F238E27FC236}">
              <a16:creationId xmlns:a16="http://schemas.microsoft.com/office/drawing/2014/main" id="{9915065F-7987-4552-8736-7E731AEA2FCB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215661</xdr:colOff>
      <xdr:row>38</xdr:row>
      <xdr:rowOff>155275</xdr:rowOff>
    </xdr:from>
    <xdr:ext cx="304800" cy="302284"/>
    <xdr:sp macro="" textlink="">
      <xdr:nvSpPr>
        <xdr:cNvPr id="6325" name="AutoShape 6" descr="London Irish">
          <a:extLst>
            <a:ext uri="{FF2B5EF4-FFF2-40B4-BE49-F238E27FC236}">
              <a16:creationId xmlns:a16="http://schemas.microsoft.com/office/drawing/2014/main" id="{4EF55CC8-FF51-41F1-8C3F-60D7BC80E545}"/>
            </a:ext>
          </a:extLst>
        </xdr:cNvPr>
        <xdr:cNvSpPr>
          <a:spLocks noChangeAspect="1" noChangeArrowheads="1"/>
        </xdr:cNvSpPr>
      </xdr:nvSpPr>
      <xdr:spPr bwMode="auto">
        <a:xfrm>
          <a:off x="3579963" y="736695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552091</xdr:colOff>
      <xdr:row>47</xdr:row>
      <xdr:rowOff>77639</xdr:rowOff>
    </xdr:from>
    <xdr:ext cx="304800" cy="302284"/>
    <xdr:sp macro="" textlink="">
      <xdr:nvSpPr>
        <xdr:cNvPr id="6326" name="AutoShape 7" descr="Leicester Tigers">
          <a:extLst>
            <a:ext uri="{FF2B5EF4-FFF2-40B4-BE49-F238E27FC236}">
              <a16:creationId xmlns:a16="http://schemas.microsoft.com/office/drawing/2014/main" id="{EAA1746D-12F3-433C-B23A-DED7A21E29C4}"/>
            </a:ext>
          </a:extLst>
        </xdr:cNvPr>
        <xdr:cNvSpPr>
          <a:spLocks noChangeAspect="1" noChangeArrowheads="1"/>
        </xdr:cNvSpPr>
      </xdr:nvSpPr>
      <xdr:spPr bwMode="auto">
        <a:xfrm>
          <a:off x="552091" y="899735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302284"/>
    <xdr:sp macro="" textlink="">
      <xdr:nvSpPr>
        <xdr:cNvPr id="6327" name="AutoShape 8" descr="Newcastle Falcons">
          <a:extLst>
            <a:ext uri="{FF2B5EF4-FFF2-40B4-BE49-F238E27FC236}">
              <a16:creationId xmlns:a16="http://schemas.microsoft.com/office/drawing/2014/main" id="{3412DB9E-4093-4C8D-B106-A3D76795F471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303002"/>
    <xdr:sp macro="" textlink="">
      <xdr:nvSpPr>
        <xdr:cNvPr id="6328" name="AutoShape 2" descr="Exeter Chiefs">
          <a:extLst>
            <a:ext uri="{FF2B5EF4-FFF2-40B4-BE49-F238E27FC236}">
              <a16:creationId xmlns:a16="http://schemas.microsoft.com/office/drawing/2014/main" id="{FFF34C29-AA8F-49C5-A583-6148C5E8CD9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304800" cy="303003"/>
    <xdr:sp macro="" textlink="">
      <xdr:nvSpPr>
        <xdr:cNvPr id="6329" name="AutoShape 3" descr="Harlequins">
          <a:extLst>
            <a:ext uri="{FF2B5EF4-FFF2-40B4-BE49-F238E27FC236}">
              <a16:creationId xmlns:a16="http://schemas.microsoft.com/office/drawing/2014/main" id="{8809D2BE-814F-4024-A967-42B1BFC1FC9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303003"/>
    <xdr:sp macro="" textlink="">
      <xdr:nvSpPr>
        <xdr:cNvPr id="6330" name="AutoShape 4" descr="Sale Sharks">
          <a:extLst>
            <a:ext uri="{FF2B5EF4-FFF2-40B4-BE49-F238E27FC236}">
              <a16:creationId xmlns:a16="http://schemas.microsoft.com/office/drawing/2014/main" id="{30B0298F-D26B-4CE5-A886-C7A2A6C31C1E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304800" cy="303003"/>
    <xdr:sp macro="" textlink="">
      <xdr:nvSpPr>
        <xdr:cNvPr id="6331" name="AutoShape 5" descr="Northampton Saints">
          <a:extLst>
            <a:ext uri="{FF2B5EF4-FFF2-40B4-BE49-F238E27FC236}">
              <a16:creationId xmlns:a16="http://schemas.microsoft.com/office/drawing/2014/main" id="{91DF1606-CFE1-4250-BE85-9A02D715F67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303003"/>
    <xdr:sp macro="" textlink="">
      <xdr:nvSpPr>
        <xdr:cNvPr id="6332" name="AutoShape 6" descr="London Irish">
          <a:extLst>
            <a:ext uri="{FF2B5EF4-FFF2-40B4-BE49-F238E27FC236}">
              <a16:creationId xmlns:a16="http://schemas.microsoft.com/office/drawing/2014/main" id="{764997A5-4218-49CE-856C-B9929ACC48F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3003"/>
    <xdr:sp macro="" textlink="">
      <xdr:nvSpPr>
        <xdr:cNvPr id="6333" name="AutoShape 7" descr="Leicester Tigers">
          <a:extLst>
            <a:ext uri="{FF2B5EF4-FFF2-40B4-BE49-F238E27FC236}">
              <a16:creationId xmlns:a16="http://schemas.microsoft.com/office/drawing/2014/main" id="{25839BD1-50CA-49C3-BF4E-CF3353DAA471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3003"/>
    <xdr:sp macro="" textlink="">
      <xdr:nvSpPr>
        <xdr:cNvPr id="6334" name="AutoShape 8" descr="Newcastle Falcons">
          <a:extLst>
            <a:ext uri="{FF2B5EF4-FFF2-40B4-BE49-F238E27FC236}">
              <a16:creationId xmlns:a16="http://schemas.microsoft.com/office/drawing/2014/main" id="{2A3794FD-A05C-4DAE-9DE0-6309448B68AC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302284"/>
    <xdr:sp macro="" textlink="">
      <xdr:nvSpPr>
        <xdr:cNvPr id="6335" name="AutoShape 2" descr="Exeter Chiefs">
          <a:extLst>
            <a:ext uri="{FF2B5EF4-FFF2-40B4-BE49-F238E27FC236}">
              <a16:creationId xmlns:a16="http://schemas.microsoft.com/office/drawing/2014/main" id="{C5458448-54A9-48E3-AABC-4E09B6642399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304800" cy="302284"/>
    <xdr:sp macro="" textlink="">
      <xdr:nvSpPr>
        <xdr:cNvPr id="6336" name="AutoShape 3" descr="Harlequins">
          <a:extLst>
            <a:ext uri="{FF2B5EF4-FFF2-40B4-BE49-F238E27FC236}">
              <a16:creationId xmlns:a16="http://schemas.microsoft.com/office/drawing/2014/main" id="{52A65F76-AC04-4222-B709-D2DF3CF8B20E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302284"/>
    <xdr:sp macro="" textlink="">
      <xdr:nvSpPr>
        <xdr:cNvPr id="6337" name="AutoShape 4" descr="Sale Sharks">
          <a:extLst>
            <a:ext uri="{FF2B5EF4-FFF2-40B4-BE49-F238E27FC236}">
              <a16:creationId xmlns:a16="http://schemas.microsoft.com/office/drawing/2014/main" id="{2B9E5110-5227-4178-AA30-58DA2BA47AE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304800" cy="302284"/>
    <xdr:sp macro="" textlink="">
      <xdr:nvSpPr>
        <xdr:cNvPr id="6338" name="AutoShape 5" descr="Northampton Saints">
          <a:extLst>
            <a:ext uri="{FF2B5EF4-FFF2-40B4-BE49-F238E27FC236}">
              <a16:creationId xmlns:a16="http://schemas.microsoft.com/office/drawing/2014/main" id="{EF36D399-C8D9-46D9-8E6D-E0D7221E2E2E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302284"/>
    <xdr:sp macro="" textlink="">
      <xdr:nvSpPr>
        <xdr:cNvPr id="6339" name="AutoShape 6" descr="London Irish">
          <a:extLst>
            <a:ext uri="{FF2B5EF4-FFF2-40B4-BE49-F238E27FC236}">
              <a16:creationId xmlns:a16="http://schemas.microsoft.com/office/drawing/2014/main" id="{A874D778-CE4D-4BAD-A841-DC1581633802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2284"/>
    <xdr:sp macro="" textlink="">
      <xdr:nvSpPr>
        <xdr:cNvPr id="6340" name="AutoShape 7" descr="Leicester Tigers">
          <a:extLst>
            <a:ext uri="{FF2B5EF4-FFF2-40B4-BE49-F238E27FC236}">
              <a16:creationId xmlns:a16="http://schemas.microsoft.com/office/drawing/2014/main" id="{AD52AF5D-3FB5-4F35-BAC8-663916A129F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302284"/>
    <xdr:sp macro="" textlink="">
      <xdr:nvSpPr>
        <xdr:cNvPr id="6341" name="AutoShape 8" descr="Newcastle Falcons">
          <a:extLst>
            <a:ext uri="{FF2B5EF4-FFF2-40B4-BE49-F238E27FC236}">
              <a16:creationId xmlns:a16="http://schemas.microsoft.com/office/drawing/2014/main" id="{4E63502D-EB22-4352-AA71-A60FB6D63F0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304800" cy="302284"/>
    <xdr:sp macro="" textlink="">
      <xdr:nvSpPr>
        <xdr:cNvPr id="6342" name="AutoShape 2" descr="Exeter Chiefs">
          <a:extLst>
            <a:ext uri="{FF2B5EF4-FFF2-40B4-BE49-F238E27FC236}">
              <a16:creationId xmlns:a16="http://schemas.microsoft.com/office/drawing/2014/main" id="{2A7256D7-1305-449A-B10A-23A48C3CA16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304800" cy="302284"/>
    <xdr:sp macro="" textlink="">
      <xdr:nvSpPr>
        <xdr:cNvPr id="6343" name="AutoShape 3" descr="Harlequins">
          <a:extLst>
            <a:ext uri="{FF2B5EF4-FFF2-40B4-BE49-F238E27FC236}">
              <a16:creationId xmlns:a16="http://schemas.microsoft.com/office/drawing/2014/main" id="{46C18A55-20E0-472E-B42D-F9FC7C37319E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304800" cy="302284"/>
    <xdr:sp macro="" textlink="">
      <xdr:nvSpPr>
        <xdr:cNvPr id="6344" name="AutoShape 4" descr="Sale Sharks">
          <a:extLst>
            <a:ext uri="{FF2B5EF4-FFF2-40B4-BE49-F238E27FC236}">
              <a16:creationId xmlns:a16="http://schemas.microsoft.com/office/drawing/2014/main" id="{7CC50F0B-F190-408A-B92D-EDD025C392E4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0</xdr:rowOff>
    </xdr:from>
    <xdr:ext cx="304800" cy="302284"/>
    <xdr:sp macro="" textlink="">
      <xdr:nvSpPr>
        <xdr:cNvPr id="6345" name="AutoShape 5" descr="Northampton Saints">
          <a:extLst>
            <a:ext uri="{FF2B5EF4-FFF2-40B4-BE49-F238E27FC236}">
              <a16:creationId xmlns:a16="http://schemas.microsoft.com/office/drawing/2014/main" id="{87944138-407E-41F1-A988-3FC5F497E476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</xdr:row>
      <xdr:rowOff>0</xdr:rowOff>
    </xdr:from>
    <xdr:ext cx="304800" cy="302284"/>
    <xdr:sp macro="" textlink="">
      <xdr:nvSpPr>
        <xdr:cNvPr id="6346" name="AutoShape 6" descr="London Irish">
          <a:extLst>
            <a:ext uri="{FF2B5EF4-FFF2-40B4-BE49-F238E27FC236}">
              <a16:creationId xmlns:a16="http://schemas.microsoft.com/office/drawing/2014/main" id="{FD484BE5-F573-4EEB-ABF6-50F5AB0034E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304800" cy="302284"/>
    <xdr:sp macro="" textlink="">
      <xdr:nvSpPr>
        <xdr:cNvPr id="6347" name="AutoShape 7" descr="Leicester Tigers">
          <a:extLst>
            <a:ext uri="{FF2B5EF4-FFF2-40B4-BE49-F238E27FC236}">
              <a16:creationId xmlns:a16="http://schemas.microsoft.com/office/drawing/2014/main" id="{1AD2EB4E-657E-4741-A3DC-0B0E0241284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304800" cy="5167222"/>
    <xdr:sp macro="" textlink="">
      <xdr:nvSpPr>
        <xdr:cNvPr id="6348" name="AutoShape 8" descr="Newcastle Falcons">
          <a:extLst>
            <a:ext uri="{FF2B5EF4-FFF2-40B4-BE49-F238E27FC236}">
              <a16:creationId xmlns:a16="http://schemas.microsoft.com/office/drawing/2014/main" id="{8BA2574F-3E7A-48DC-8016-0F832D8C2551}"/>
            </a:ext>
          </a:extLst>
        </xdr:cNvPr>
        <xdr:cNvSpPr>
          <a:spLocks noChangeAspect="1" noChangeArrowheads="1"/>
        </xdr:cNvSpPr>
      </xdr:nvSpPr>
      <xdr:spPr bwMode="auto">
        <a:xfrm>
          <a:off x="5848709" y="3985404"/>
          <a:ext cx="304800" cy="5167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304800" cy="303002"/>
    <xdr:sp macro="" textlink="">
      <xdr:nvSpPr>
        <xdr:cNvPr id="6349" name="AutoShape 2" descr="Exeter Chiefs">
          <a:extLst>
            <a:ext uri="{FF2B5EF4-FFF2-40B4-BE49-F238E27FC236}">
              <a16:creationId xmlns:a16="http://schemas.microsoft.com/office/drawing/2014/main" id="{EC9ACDAB-86F4-47A2-A7C7-ED150688301D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304800" cy="303003"/>
    <xdr:sp macro="" textlink="">
      <xdr:nvSpPr>
        <xdr:cNvPr id="6350" name="AutoShape 3" descr="Harlequins">
          <a:extLst>
            <a:ext uri="{FF2B5EF4-FFF2-40B4-BE49-F238E27FC236}">
              <a16:creationId xmlns:a16="http://schemas.microsoft.com/office/drawing/2014/main" id="{2CD3B01E-31E6-4878-A7F2-3C2BB18258C8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304800" cy="303003"/>
    <xdr:sp macro="" textlink="">
      <xdr:nvSpPr>
        <xdr:cNvPr id="6351" name="AutoShape 4" descr="Sale Sharks">
          <a:extLst>
            <a:ext uri="{FF2B5EF4-FFF2-40B4-BE49-F238E27FC236}">
              <a16:creationId xmlns:a16="http://schemas.microsoft.com/office/drawing/2014/main" id="{4A2F63D2-44BA-41CE-9C28-F5CE7629D714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304800" cy="303003"/>
    <xdr:sp macro="" textlink="">
      <xdr:nvSpPr>
        <xdr:cNvPr id="6352" name="AutoShape 5" descr="Northampton Saints">
          <a:extLst>
            <a:ext uri="{FF2B5EF4-FFF2-40B4-BE49-F238E27FC236}">
              <a16:creationId xmlns:a16="http://schemas.microsoft.com/office/drawing/2014/main" id="{4117CF68-D3C5-4643-9F94-DAC05855ACD2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304800" cy="303003"/>
    <xdr:sp macro="" textlink="">
      <xdr:nvSpPr>
        <xdr:cNvPr id="6353" name="AutoShape 6" descr="London Irish">
          <a:extLst>
            <a:ext uri="{FF2B5EF4-FFF2-40B4-BE49-F238E27FC236}">
              <a16:creationId xmlns:a16="http://schemas.microsoft.com/office/drawing/2014/main" id="{0776BD1F-19AB-4072-AFE3-00531D5D126D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3003"/>
    <xdr:sp macro="" textlink="">
      <xdr:nvSpPr>
        <xdr:cNvPr id="6354" name="AutoShape 7" descr="Leicester Tigers">
          <a:extLst>
            <a:ext uri="{FF2B5EF4-FFF2-40B4-BE49-F238E27FC236}">
              <a16:creationId xmlns:a16="http://schemas.microsoft.com/office/drawing/2014/main" id="{52BE576B-B57B-4F61-B712-85E99FD8ECF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3003"/>
    <xdr:sp macro="" textlink="">
      <xdr:nvSpPr>
        <xdr:cNvPr id="6355" name="AutoShape 8" descr="Newcastle Falcons">
          <a:extLst>
            <a:ext uri="{FF2B5EF4-FFF2-40B4-BE49-F238E27FC236}">
              <a16:creationId xmlns:a16="http://schemas.microsoft.com/office/drawing/2014/main" id="{3D8189DC-9FEB-46F2-B171-33AC1B36AFA1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304800" cy="302284"/>
    <xdr:sp macro="" textlink="">
      <xdr:nvSpPr>
        <xdr:cNvPr id="6356" name="AutoShape 2" descr="Exeter Chiefs">
          <a:extLst>
            <a:ext uri="{FF2B5EF4-FFF2-40B4-BE49-F238E27FC236}">
              <a16:creationId xmlns:a16="http://schemas.microsoft.com/office/drawing/2014/main" id="{41572883-1CBD-4BA8-B38B-F55B21E24DB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304800" cy="302284"/>
    <xdr:sp macro="" textlink="">
      <xdr:nvSpPr>
        <xdr:cNvPr id="6357" name="AutoShape 3" descr="Harlequins">
          <a:extLst>
            <a:ext uri="{FF2B5EF4-FFF2-40B4-BE49-F238E27FC236}">
              <a16:creationId xmlns:a16="http://schemas.microsoft.com/office/drawing/2014/main" id="{8866EDC0-A011-4933-9DB8-17E9E0373D32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304800" cy="302284"/>
    <xdr:sp macro="" textlink="">
      <xdr:nvSpPr>
        <xdr:cNvPr id="6358" name="AutoShape 4" descr="Sale Sharks">
          <a:extLst>
            <a:ext uri="{FF2B5EF4-FFF2-40B4-BE49-F238E27FC236}">
              <a16:creationId xmlns:a16="http://schemas.microsoft.com/office/drawing/2014/main" id="{E865DC26-C808-4D58-B46F-25791C44750D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304800" cy="302284"/>
    <xdr:sp macro="" textlink="">
      <xdr:nvSpPr>
        <xdr:cNvPr id="6359" name="AutoShape 5" descr="Northampton Saints">
          <a:extLst>
            <a:ext uri="{FF2B5EF4-FFF2-40B4-BE49-F238E27FC236}">
              <a16:creationId xmlns:a16="http://schemas.microsoft.com/office/drawing/2014/main" id="{4DE8D8F3-8EA2-4E42-BF05-D849B18DBD48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304800" cy="302284"/>
    <xdr:sp macro="" textlink="">
      <xdr:nvSpPr>
        <xdr:cNvPr id="6360" name="AutoShape 6" descr="London Irish">
          <a:extLst>
            <a:ext uri="{FF2B5EF4-FFF2-40B4-BE49-F238E27FC236}">
              <a16:creationId xmlns:a16="http://schemas.microsoft.com/office/drawing/2014/main" id="{079D289C-AF14-4B13-A297-C71B14A9E86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2284"/>
    <xdr:sp macro="" textlink="">
      <xdr:nvSpPr>
        <xdr:cNvPr id="6361" name="AutoShape 7" descr="Leicester Tigers">
          <a:extLst>
            <a:ext uri="{FF2B5EF4-FFF2-40B4-BE49-F238E27FC236}">
              <a16:creationId xmlns:a16="http://schemas.microsoft.com/office/drawing/2014/main" id="{12062FAB-93DD-4CA9-91B0-EFE5AA43976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2284"/>
    <xdr:sp macro="" textlink="">
      <xdr:nvSpPr>
        <xdr:cNvPr id="6362" name="AutoShape 8" descr="Newcastle Falcons">
          <a:extLst>
            <a:ext uri="{FF2B5EF4-FFF2-40B4-BE49-F238E27FC236}">
              <a16:creationId xmlns:a16="http://schemas.microsoft.com/office/drawing/2014/main" id="{0AACFDFF-9FF3-4A68-9C54-CA30E0765FF1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304800" cy="302284"/>
    <xdr:sp macro="" textlink="">
      <xdr:nvSpPr>
        <xdr:cNvPr id="6363" name="AutoShape 2" descr="Exeter Chiefs">
          <a:extLst>
            <a:ext uri="{FF2B5EF4-FFF2-40B4-BE49-F238E27FC236}">
              <a16:creationId xmlns:a16="http://schemas.microsoft.com/office/drawing/2014/main" id="{E73D8B7F-2760-4863-A80D-84CABCDD166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304800" cy="302284"/>
    <xdr:sp macro="" textlink="">
      <xdr:nvSpPr>
        <xdr:cNvPr id="6364" name="AutoShape 3" descr="Harlequins">
          <a:extLst>
            <a:ext uri="{FF2B5EF4-FFF2-40B4-BE49-F238E27FC236}">
              <a16:creationId xmlns:a16="http://schemas.microsoft.com/office/drawing/2014/main" id="{E8611188-F352-43DA-B0D4-7F1F233FE8C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304800" cy="302284"/>
    <xdr:sp macro="" textlink="">
      <xdr:nvSpPr>
        <xdr:cNvPr id="6365" name="AutoShape 4" descr="Sale Sharks">
          <a:extLst>
            <a:ext uri="{FF2B5EF4-FFF2-40B4-BE49-F238E27FC236}">
              <a16:creationId xmlns:a16="http://schemas.microsoft.com/office/drawing/2014/main" id="{577CB90D-02B0-4128-9C2E-7F8FCF81706D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304800" cy="302284"/>
    <xdr:sp macro="" textlink="">
      <xdr:nvSpPr>
        <xdr:cNvPr id="6367" name="AutoShape 6" descr="London Irish">
          <a:extLst>
            <a:ext uri="{FF2B5EF4-FFF2-40B4-BE49-F238E27FC236}">
              <a16:creationId xmlns:a16="http://schemas.microsoft.com/office/drawing/2014/main" id="{F7D23248-7B45-4688-AAAA-D05DF7FE61F4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3002"/>
    <xdr:sp macro="" textlink="">
      <xdr:nvSpPr>
        <xdr:cNvPr id="6370" name="AutoShape 2" descr="Exeter Chiefs">
          <a:extLst>
            <a:ext uri="{FF2B5EF4-FFF2-40B4-BE49-F238E27FC236}">
              <a16:creationId xmlns:a16="http://schemas.microsoft.com/office/drawing/2014/main" id="{90954AA8-4831-4584-AF16-FF1D006EAADF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3003"/>
    <xdr:sp macro="" textlink="">
      <xdr:nvSpPr>
        <xdr:cNvPr id="6371" name="AutoShape 3" descr="Harlequins">
          <a:extLst>
            <a:ext uri="{FF2B5EF4-FFF2-40B4-BE49-F238E27FC236}">
              <a16:creationId xmlns:a16="http://schemas.microsoft.com/office/drawing/2014/main" id="{F0470C22-4138-4F3E-AC3D-0139995DD1BD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3003"/>
    <xdr:sp macro="" textlink="">
      <xdr:nvSpPr>
        <xdr:cNvPr id="6372" name="AutoShape 4" descr="Sale Sharks">
          <a:extLst>
            <a:ext uri="{FF2B5EF4-FFF2-40B4-BE49-F238E27FC236}">
              <a16:creationId xmlns:a16="http://schemas.microsoft.com/office/drawing/2014/main" id="{4A5A5527-4AD6-4254-9FE1-3CBECE467930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3003"/>
    <xdr:sp macro="" textlink="">
      <xdr:nvSpPr>
        <xdr:cNvPr id="6373" name="AutoShape 5" descr="Northampton Saints">
          <a:extLst>
            <a:ext uri="{FF2B5EF4-FFF2-40B4-BE49-F238E27FC236}">
              <a16:creationId xmlns:a16="http://schemas.microsoft.com/office/drawing/2014/main" id="{92B8AAFB-F34F-4CA9-8917-F4F83728BD68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304800" cy="303003"/>
    <xdr:sp macro="" textlink="">
      <xdr:nvSpPr>
        <xdr:cNvPr id="6374" name="AutoShape 6" descr="London Irish">
          <a:extLst>
            <a:ext uri="{FF2B5EF4-FFF2-40B4-BE49-F238E27FC236}">
              <a16:creationId xmlns:a16="http://schemas.microsoft.com/office/drawing/2014/main" id="{CBD7506C-2763-4860-9B36-50DEC45B763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304800" cy="303003"/>
    <xdr:sp macro="" textlink="">
      <xdr:nvSpPr>
        <xdr:cNvPr id="6375" name="AutoShape 7" descr="Leicester Tigers">
          <a:extLst>
            <a:ext uri="{FF2B5EF4-FFF2-40B4-BE49-F238E27FC236}">
              <a16:creationId xmlns:a16="http://schemas.microsoft.com/office/drawing/2014/main" id="{22A4733F-0EA9-4C6B-B513-F0FA2A7B82B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304800" cy="303003"/>
    <xdr:sp macro="" textlink="">
      <xdr:nvSpPr>
        <xdr:cNvPr id="6376" name="AutoShape 8" descr="Newcastle Falcons">
          <a:extLst>
            <a:ext uri="{FF2B5EF4-FFF2-40B4-BE49-F238E27FC236}">
              <a16:creationId xmlns:a16="http://schemas.microsoft.com/office/drawing/2014/main" id="{3BD9F63A-9790-4F72-B051-013E0EB716B1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6377" name="AutoShape 2" descr="Exeter Chiefs">
          <a:extLst>
            <a:ext uri="{FF2B5EF4-FFF2-40B4-BE49-F238E27FC236}">
              <a16:creationId xmlns:a16="http://schemas.microsoft.com/office/drawing/2014/main" id="{924166CF-B12E-46E9-B7FB-6724F9567A1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2284"/>
    <xdr:sp macro="" textlink="">
      <xdr:nvSpPr>
        <xdr:cNvPr id="6378" name="AutoShape 3" descr="Harlequins">
          <a:extLst>
            <a:ext uri="{FF2B5EF4-FFF2-40B4-BE49-F238E27FC236}">
              <a16:creationId xmlns:a16="http://schemas.microsoft.com/office/drawing/2014/main" id="{A91A77E7-0AA2-4702-87F0-DC64D7889A1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6379" name="AutoShape 4" descr="Sale Sharks">
          <a:extLst>
            <a:ext uri="{FF2B5EF4-FFF2-40B4-BE49-F238E27FC236}">
              <a16:creationId xmlns:a16="http://schemas.microsoft.com/office/drawing/2014/main" id="{6AD9ACE7-E136-4CEB-A154-A1785DCE6730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6380" name="AutoShape 5" descr="Northampton Saints">
          <a:extLst>
            <a:ext uri="{FF2B5EF4-FFF2-40B4-BE49-F238E27FC236}">
              <a16:creationId xmlns:a16="http://schemas.microsoft.com/office/drawing/2014/main" id="{B6E4FF9F-5345-4885-A4B2-9D52EC4D2F3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304800" cy="302284"/>
    <xdr:sp macro="" textlink="">
      <xdr:nvSpPr>
        <xdr:cNvPr id="6381" name="AutoShape 6" descr="London Irish">
          <a:extLst>
            <a:ext uri="{FF2B5EF4-FFF2-40B4-BE49-F238E27FC236}">
              <a16:creationId xmlns:a16="http://schemas.microsoft.com/office/drawing/2014/main" id="{2431EA5F-40DD-42CF-9019-F27D17916A17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32603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304800" cy="302284"/>
    <xdr:sp macro="" textlink="">
      <xdr:nvSpPr>
        <xdr:cNvPr id="6382" name="AutoShape 7" descr="Leicester Tigers">
          <a:extLst>
            <a:ext uri="{FF2B5EF4-FFF2-40B4-BE49-F238E27FC236}">
              <a16:creationId xmlns:a16="http://schemas.microsoft.com/office/drawing/2014/main" id="{35970EFC-4912-4559-AA55-547F184A0EB8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304800" cy="302284"/>
    <xdr:sp macro="" textlink="">
      <xdr:nvSpPr>
        <xdr:cNvPr id="6383" name="AutoShape 8" descr="Newcastle Falcons">
          <a:extLst>
            <a:ext uri="{FF2B5EF4-FFF2-40B4-BE49-F238E27FC236}">
              <a16:creationId xmlns:a16="http://schemas.microsoft.com/office/drawing/2014/main" id="{E2800019-CAE4-4179-8D53-A3AAFB1C3B35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304800" cy="302284"/>
    <xdr:sp macro="" textlink="">
      <xdr:nvSpPr>
        <xdr:cNvPr id="6384" name="AutoShape 2" descr="Exeter Chiefs">
          <a:extLst>
            <a:ext uri="{FF2B5EF4-FFF2-40B4-BE49-F238E27FC236}">
              <a16:creationId xmlns:a16="http://schemas.microsoft.com/office/drawing/2014/main" id="{BC79CC80-2CF6-4FC4-AD9E-FD90A72FCDD9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55924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304800" cy="302284"/>
    <xdr:sp macro="" textlink="">
      <xdr:nvSpPr>
        <xdr:cNvPr id="6385" name="AutoShape 3" descr="Harlequins">
          <a:extLst>
            <a:ext uri="{FF2B5EF4-FFF2-40B4-BE49-F238E27FC236}">
              <a16:creationId xmlns:a16="http://schemas.microsoft.com/office/drawing/2014/main" id="{11E075EE-ADBF-4D62-A9B0-D2EF1ED7D6CA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7509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304800" cy="302284"/>
    <xdr:sp macro="" textlink="">
      <xdr:nvSpPr>
        <xdr:cNvPr id="6386" name="AutoShape 4" descr="Sale Sharks">
          <a:extLst>
            <a:ext uri="{FF2B5EF4-FFF2-40B4-BE49-F238E27FC236}">
              <a16:creationId xmlns:a16="http://schemas.microsoft.com/office/drawing/2014/main" id="{1EC68BE4-2A04-48FD-AC51-4592E3461241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594264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304800" cy="302284"/>
    <xdr:sp macro="" textlink="">
      <xdr:nvSpPr>
        <xdr:cNvPr id="6387" name="AutoShape 5" descr="Northampton Saints">
          <a:extLst>
            <a:ext uri="{FF2B5EF4-FFF2-40B4-BE49-F238E27FC236}">
              <a16:creationId xmlns:a16="http://schemas.microsoft.com/office/drawing/2014/main" id="{9591A6CA-6043-439D-AFD2-215005FBC419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13434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69011</xdr:colOff>
      <xdr:row>51</xdr:row>
      <xdr:rowOff>69011</xdr:rowOff>
    </xdr:from>
    <xdr:ext cx="304800" cy="302284"/>
    <xdr:sp macro="" textlink="">
      <xdr:nvSpPr>
        <xdr:cNvPr id="6388" name="AutoShape 6" descr="London Irish">
          <a:extLst>
            <a:ext uri="{FF2B5EF4-FFF2-40B4-BE49-F238E27FC236}">
              <a16:creationId xmlns:a16="http://schemas.microsoft.com/office/drawing/2014/main" id="{D0613ED9-2F2A-41E2-9540-7DE684D1A727}"/>
            </a:ext>
          </a:extLst>
        </xdr:cNvPr>
        <xdr:cNvSpPr>
          <a:spLocks noChangeAspect="1" noChangeArrowheads="1"/>
        </xdr:cNvSpPr>
      </xdr:nvSpPr>
      <xdr:spPr bwMode="auto">
        <a:xfrm>
          <a:off x="69011" y="97478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304800" cy="302284"/>
    <xdr:sp macro="" textlink="">
      <xdr:nvSpPr>
        <xdr:cNvPr id="6389" name="AutoShape 7" descr="Leicester Tigers">
          <a:extLst>
            <a:ext uri="{FF2B5EF4-FFF2-40B4-BE49-F238E27FC236}">
              <a16:creationId xmlns:a16="http://schemas.microsoft.com/office/drawing/2014/main" id="{B1AAEEA2-D3BD-4CD2-8317-CDD1DF496DFC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51773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304800" cy="302284"/>
    <xdr:sp macro="" textlink="">
      <xdr:nvSpPr>
        <xdr:cNvPr id="6390" name="AutoShape 8" descr="Newcastle Falcons">
          <a:extLst>
            <a:ext uri="{FF2B5EF4-FFF2-40B4-BE49-F238E27FC236}">
              <a16:creationId xmlns:a16="http://schemas.microsoft.com/office/drawing/2014/main" id="{3134E023-2556-45D1-83AD-E3ADCB2DF918}"/>
            </a:ext>
          </a:extLst>
        </xdr:cNvPr>
        <xdr:cNvSpPr>
          <a:spLocks noChangeAspect="1" noChangeArrowheads="1"/>
        </xdr:cNvSpPr>
      </xdr:nvSpPr>
      <xdr:spPr bwMode="auto">
        <a:xfrm>
          <a:off x="12000302" y="6709434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37</xdr:row>
      <xdr:rowOff>0</xdr:rowOff>
    </xdr:from>
    <xdr:to>
      <xdr:col>2</xdr:col>
      <xdr:colOff>5140</xdr:colOff>
      <xdr:row>44</xdr:row>
      <xdr:rowOff>104822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5234FB8-7B8E-427F-AA22-DEBF016F7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21902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0</xdr:row>
      <xdr:rowOff>0</xdr:rowOff>
    </xdr:from>
    <xdr:to>
      <xdr:col>37</xdr:col>
      <xdr:colOff>238052</xdr:colOff>
      <xdr:row>7</xdr:row>
      <xdr:rowOff>104822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4562E60-AA07-4272-AE34-A6E067E12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1418" y="0"/>
          <a:ext cx="1445750" cy="1433290"/>
        </a:xfrm>
        <a:prstGeom prst="rect">
          <a:avLst/>
        </a:prstGeom>
      </xdr:spPr>
    </xdr:pic>
    <xdr:clientData/>
  </xdr:twoCellAnchor>
  <xdr:oneCellAnchor>
    <xdr:from>
      <xdr:col>35</xdr:col>
      <xdr:colOff>0</xdr:colOff>
      <xdr:row>2</xdr:row>
      <xdr:rowOff>0</xdr:rowOff>
    </xdr:from>
    <xdr:ext cx="304800" cy="303003"/>
    <xdr:sp macro="" textlink="">
      <xdr:nvSpPr>
        <xdr:cNvPr id="6284" name="AutoShape 1" descr="Bristol Bears">
          <a:extLst>
            <a:ext uri="{FF2B5EF4-FFF2-40B4-BE49-F238E27FC236}">
              <a16:creationId xmlns:a16="http://schemas.microsoft.com/office/drawing/2014/main" id="{1A1F8261-E79A-433B-8F91-580A59C93BC8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37956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3</xdr:row>
      <xdr:rowOff>0</xdr:rowOff>
    </xdr:from>
    <xdr:ext cx="304800" cy="303002"/>
    <xdr:sp macro="" textlink="">
      <xdr:nvSpPr>
        <xdr:cNvPr id="6285" name="AutoShape 2" descr="Exeter Chiefs">
          <a:extLst>
            <a:ext uri="{FF2B5EF4-FFF2-40B4-BE49-F238E27FC236}">
              <a16:creationId xmlns:a16="http://schemas.microsoft.com/office/drawing/2014/main" id="{6DF56382-38DC-4BF3-8A72-220066FA0E22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56934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4</xdr:row>
      <xdr:rowOff>0</xdr:rowOff>
    </xdr:from>
    <xdr:ext cx="304800" cy="303003"/>
    <xdr:sp macro="" textlink="">
      <xdr:nvSpPr>
        <xdr:cNvPr id="6366" name="AutoShape 3" descr="Harlequins">
          <a:extLst>
            <a:ext uri="{FF2B5EF4-FFF2-40B4-BE49-F238E27FC236}">
              <a16:creationId xmlns:a16="http://schemas.microsoft.com/office/drawing/2014/main" id="{5DACE713-F899-468B-ADE2-8A14D0E2E406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7591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3003"/>
    <xdr:sp macro="" textlink="">
      <xdr:nvSpPr>
        <xdr:cNvPr id="6368" name="AutoShape 4" descr="Sale Sharks">
          <a:extLst>
            <a:ext uri="{FF2B5EF4-FFF2-40B4-BE49-F238E27FC236}">
              <a16:creationId xmlns:a16="http://schemas.microsoft.com/office/drawing/2014/main" id="{05CEAC68-C329-40EE-9F5E-929BCBBC0DBD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6</xdr:row>
      <xdr:rowOff>0</xdr:rowOff>
    </xdr:from>
    <xdr:ext cx="304800" cy="303003"/>
    <xdr:sp macro="" textlink="">
      <xdr:nvSpPr>
        <xdr:cNvPr id="6369" name="AutoShape 5" descr="Northampton Saints">
          <a:extLst>
            <a:ext uri="{FF2B5EF4-FFF2-40B4-BE49-F238E27FC236}">
              <a16:creationId xmlns:a16="http://schemas.microsoft.com/office/drawing/2014/main" id="{79342046-37B9-4943-BE36-3797FBE19843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7</xdr:row>
      <xdr:rowOff>0</xdr:rowOff>
    </xdr:from>
    <xdr:ext cx="304800" cy="303003"/>
    <xdr:sp macro="" textlink="">
      <xdr:nvSpPr>
        <xdr:cNvPr id="6391" name="AutoShape 6" descr="London Irish">
          <a:extLst>
            <a:ext uri="{FF2B5EF4-FFF2-40B4-BE49-F238E27FC236}">
              <a16:creationId xmlns:a16="http://schemas.microsoft.com/office/drawing/2014/main" id="{C5E2CF32-EFF3-47CA-8BDF-3BC21586900B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8</xdr:row>
      <xdr:rowOff>0</xdr:rowOff>
    </xdr:from>
    <xdr:ext cx="304800" cy="303003"/>
    <xdr:sp macro="" textlink="">
      <xdr:nvSpPr>
        <xdr:cNvPr id="6392" name="AutoShape 7" descr="Leicester Tigers">
          <a:extLst>
            <a:ext uri="{FF2B5EF4-FFF2-40B4-BE49-F238E27FC236}">
              <a16:creationId xmlns:a16="http://schemas.microsoft.com/office/drawing/2014/main" id="{EDCE508C-0CFA-4CF5-ABCC-66B686C12589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0</xdr:rowOff>
    </xdr:from>
    <xdr:ext cx="304800" cy="303003"/>
    <xdr:sp macro="" textlink="">
      <xdr:nvSpPr>
        <xdr:cNvPr id="6393" name="AutoShape 8" descr="Newcastle Falcons">
          <a:extLst>
            <a:ext uri="{FF2B5EF4-FFF2-40B4-BE49-F238E27FC236}">
              <a16:creationId xmlns:a16="http://schemas.microsoft.com/office/drawing/2014/main" id="{3905175B-75F4-4067-87C5-1CCD32A248EB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19050</xdr:rowOff>
    </xdr:from>
    <xdr:ext cx="295275" cy="303003"/>
    <xdr:sp macro="" textlink="">
      <xdr:nvSpPr>
        <xdr:cNvPr id="6394" name="AutoShape 9" descr="Bath Rugby">
          <a:extLst>
            <a:ext uri="{FF2B5EF4-FFF2-40B4-BE49-F238E27FC236}">
              <a16:creationId xmlns:a16="http://schemas.microsoft.com/office/drawing/2014/main" id="{FAA19FE8-5597-4AE0-B598-454D9689C56B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727080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3</xdr:row>
      <xdr:rowOff>146649</xdr:rowOff>
    </xdr:from>
    <xdr:ext cx="304800" cy="302284"/>
    <xdr:sp macro="" textlink="">
      <xdr:nvSpPr>
        <xdr:cNvPr id="6395" name="AutoShape 2" descr="Exeter Chiefs">
          <a:extLst>
            <a:ext uri="{FF2B5EF4-FFF2-40B4-BE49-F238E27FC236}">
              <a16:creationId xmlns:a16="http://schemas.microsoft.com/office/drawing/2014/main" id="{02F7C88C-F9CD-4D9B-9B06-072161DFD3B9}"/>
            </a:ext>
          </a:extLst>
        </xdr:cNvPr>
        <xdr:cNvSpPr>
          <a:spLocks noChangeAspect="1" noChangeArrowheads="1"/>
        </xdr:cNvSpPr>
      </xdr:nvSpPr>
      <xdr:spPr bwMode="auto">
        <a:xfrm>
          <a:off x="16071011" y="71599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4</xdr:row>
      <xdr:rowOff>0</xdr:rowOff>
    </xdr:from>
    <xdr:ext cx="304800" cy="302284"/>
    <xdr:sp macro="" textlink="">
      <xdr:nvSpPr>
        <xdr:cNvPr id="6396" name="AutoShape 3" descr="Harlequins">
          <a:extLst>
            <a:ext uri="{FF2B5EF4-FFF2-40B4-BE49-F238E27FC236}">
              <a16:creationId xmlns:a16="http://schemas.microsoft.com/office/drawing/2014/main" id="{64694401-AA6E-41AF-BB3D-F4DBE4821FD4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2284"/>
    <xdr:sp macro="" textlink="">
      <xdr:nvSpPr>
        <xdr:cNvPr id="6397" name="AutoShape 4" descr="Sale Sharks">
          <a:extLst>
            <a:ext uri="{FF2B5EF4-FFF2-40B4-BE49-F238E27FC236}">
              <a16:creationId xmlns:a16="http://schemas.microsoft.com/office/drawing/2014/main" id="{65907877-7235-42D8-B4CD-8B1EC8823E92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6</xdr:row>
      <xdr:rowOff>0</xdr:rowOff>
    </xdr:from>
    <xdr:ext cx="304800" cy="302284"/>
    <xdr:sp macro="" textlink="">
      <xdr:nvSpPr>
        <xdr:cNvPr id="6398" name="AutoShape 5" descr="Northampton Saints">
          <a:extLst>
            <a:ext uri="{FF2B5EF4-FFF2-40B4-BE49-F238E27FC236}">
              <a16:creationId xmlns:a16="http://schemas.microsoft.com/office/drawing/2014/main" id="{DA4C0CAD-36F3-4AE2-B7A3-DC901A077D55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7</xdr:row>
      <xdr:rowOff>0</xdr:rowOff>
    </xdr:from>
    <xdr:ext cx="304800" cy="302284"/>
    <xdr:sp macro="" textlink="">
      <xdr:nvSpPr>
        <xdr:cNvPr id="6399" name="AutoShape 6" descr="London Irish">
          <a:extLst>
            <a:ext uri="{FF2B5EF4-FFF2-40B4-BE49-F238E27FC236}">
              <a16:creationId xmlns:a16="http://schemas.microsoft.com/office/drawing/2014/main" id="{D829A3AE-BB09-49EB-B475-E332272F7FE4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8</xdr:row>
      <xdr:rowOff>0</xdr:rowOff>
    </xdr:from>
    <xdr:ext cx="304800" cy="302284"/>
    <xdr:sp macro="" textlink="">
      <xdr:nvSpPr>
        <xdr:cNvPr id="6168" name="AutoShape 7" descr="Leicester Tigers">
          <a:extLst>
            <a:ext uri="{FF2B5EF4-FFF2-40B4-BE49-F238E27FC236}">
              <a16:creationId xmlns:a16="http://schemas.microsoft.com/office/drawing/2014/main" id="{2841E4D0-6F55-401E-AC10-3BF73EA00D50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0</xdr:rowOff>
    </xdr:from>
    <xdr:ext cx="304800" cy="302284"/>
    <xdr:sp macro="" textlink="">
      <xdr:nvSpPr>
        <xdr:cNvPr id="6235" name="AutoShape 8" descr="Newcastle Falcons">
          <a:extLst>
            <a:ext uri="{FF2B5EF4-FFF2-40B4-BE49-F238E27FC236}">
              <a16:creationId xmlns:a16="http://schemas.microsoft.com/office/drawing/2014/main" id="{AAF6047B-308A-4AA0-AB75-FC227368734A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7</xdr:row>
      <xdr:rowOff>0</xdr:rowOff>
    </xdr:from>
    <xdr:ext cx="304800" cy="302284"/>
    <xdr:sp macro="" textlink="">
      <xdr:nvSpPr>
        <xdr:cNvPr id="6236" name="AutoShape 6" descr="London Irish">
          <a:extLst>
            <a:ext uri="{FF2B5EF4-FFF2-40B4-BE49-F238E27FC236}">
              <a16:creationId xmlns:a16="http://schemas.microsoft.com/office/drawing/2014/main" id="{C0C8C9FC-116F-481C-B61F-7C9F79A46136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8</xdr:row>
      <xdr:rowOff>0</xdr:rowOff>
    </xdr:from>
    <xdr:ext cx="304800" cy="302284"/>
    <xdr:sp macro="" textlink="">
      <xdr:nvSpPr>
        <xdr:cNvPr id="6237" name="AutoShape 7" descr="Leicester Tigers">
          <a:extLst>
            <a:ext uri="{FF2B5EF4-FFF2-40B4-BE49-F238E27FC236}">
              <a16:creationId xmlns:a16="http://schemas.microsoft.com/office/drawing/2014/main" id="{6DD51410-EF57-40E4-B22F-97DECA1CC9B0}"/>
            </a:ext>
          </a:extLst>
        </xdr:cNvPr>
        <xdr:cNvSpPr>
          <a:spLocks noChangeAspect="1" noChangeArrowheads="1"/>
        </xdr:cNvSpPr>
      </xdr:nvSpPr>
      <xdr:spPr bwMode="auto">
        <a:xfrm>
          <a:off x="15441283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</xdr:row>
      <xdr:rowOff>0</xdr:rowOff>
    </xdr:from>
    <xdr:ext cx="304800" cy="303003"/>
    <xdr:sp macro="" textlink="">
      <xdr:nvSpPr>
        <xdr:cNvPr id="6245" name="AutoShape 1" descr="Bristol Bears">
          <a:extLst>
            <a:ext uri="{FF2B5EF4-FFF2-40B4-BE49-F238E27FC236}">
              <a16:creationId xmlns:a16="http://schemas.microsoft.com/office/drawing/2014/main" id="{2F07DAEB-1411-485D-ABB0-A54FCA7B77C3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379562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3</xdr:row>
      <xdr:rowOff>0</xdr:rowOff>
    </xdr:from>
    <xdr:ext cx="304800" cy="303002"/>
    <xdr:sp macro="" textlink="">
      <xdr:nvSpPr>
        <xdr:cNvPr id="6246" name="AutoShape 2" descr="Exeter Chiefs">
          <a:extLst>
            <a:ext uri="{FF2B5EF4-FFF2-40B4-BE49-F238E27FC236}">
              <a16:creationId xmlns:a16="http://schemas.microsoft.com/office/drawing/2014/main" id="{A04AC3F2-58C9-4C73-AE7B-97FFDA60F93C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569343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4</xdr:row>
      <xdr:rowOff>0</xdr:rowOff>
    </xdr:from>
    <xdr:ext cx="304800" cy="303003"/>
    <xdr:sp macro="" textlink="">
      <xdr:nvSpPr>
        <xdr:cNvPr id="6264" name="AutoShape 3" descr="Harlequins">
          <a:extLst>
            <a:ext uri="{FF2B5EF4-FFF2-40B4-BE49-F238E27FC236}">
              <a16:creationId xmlns:a16="http://schemas.microsoft.com/office/drawing/2014/main" id="{4A74B7D2-6901-4483-BA4F-770A99066FB7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759125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3003"/>
    <xdr:sp macro="" textlink="">
      <xdr:nvSpPr>
        <xdr:cNvPr id="6265" name="AutoShape 4" descr="Sale Sharks">
          <a:extLst>
            <a:ext uri="{FF2B5EF4-FFF2-40B4-BE49-F238E27FC236}">
              <a16:creationId xmlns:a16="http://schemas.microsoft.com/office/drawing/2014/main" id="{DA7DF86E-10E2-4D53-BACD-DFC58F19921D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6</xdr:row>
      <xdr:rowOff>0</xdr:rowOff>
    </xdr:from>
    <xdr:ext cx="304800" cy="303003"/>
    <xdr:sp macro="" textlink="">
      <xdr:nvSpPr>
        <xdr:cNvPr id="6400" name="AutoShape 5" descr="Northampton Saints">
          <a:extLst>
            <a:ext uri="{FF2B5EF4-FFF2-40B4-BE49-F238E27FC236}">
              <a16:creationId xmlns:a16="http://schemas.microsoft.com/office/drawing/2014/main" id="{A9D3E2E4-F078-4E36-A7E4-4173C10B42A9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7</xdr:row>
      <xdr:rowOff>0</xdr:rowOff>
    </xdr:from>
    <xdr:ext cx="304800" cy="303003"/>
    <xdr:sp macro="" textlink="">
      <xdr:nvSpPr>
        <xdr:cNvPr id="6401" name="AutoShape 6" descr="London Irish">
          <a:extLst>
            <a:ext uri="{FF2B5EF4-FFF2-40B4-BE49-F238E27FC236}">
              <a16:creationId xmlns:a16="http://schemas.microsoft.com/office/drawing/2014/main" id="{A2C7F6CE-6E26-445A-B058-5EF40528FD6F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8</xdr:row>
      <xdr:rowOff>0</xdr:rowOff>
    </xdr:from>
    <xdr:ext cx="304800" cy="303003"/>
    <xdr:sp macro="" textlink="">
      <xdr:nvSpPr>
        <xdr:cNvPr id="6402" name="AutoShape 7" descr="Leicester Tigers">
          <a:extLst>
            <a:ext uri="{FF2B5EF4-FFF2-40B4-BE49-F238E27FC236}">
              <a16:creationId xmlns:a16="http://schemas.microsoft.com/office/drawing/2014/main" id="{B485F573-DB0D-464D-AAE4-AA58966510FF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9</xdr:row>
      <xdr:rowOff>0</xdr:rowOff>
    </xdr:from>
    <xdr:ext cx="304800" cy="303003"/>
    <xdr:sp macro="" textlink="">
      <xdr:nvSpPr>
        <xdr:cNvPr id="6403" name="AutoShape 8" descr="Newcastle Falcons">
          <a:extLst>
            <a:ext uri="{FF2B5EF4-FFF2-40B4-BE49-F238E27FC236}">
              <a16:creationId xmlns:a16="http://schemas.microsoft.com/office/drawing/2014/main" id="{D00F8838-53C3-42C1-B760-81A78319C271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9</xdr:row>
      <xdr:rowOff>19050</xdr:rowOff>
    </xdr:from>
    <xdr:ext cx="295275" cy="303003"/>
    <xdr:sp macro="" textlink="">
      <xdr:nvSpPr>
        <xdr:cNvPr id="6404" name="AutoShape 9" descr="Bath Rugby">
          <a:extLst>
            <a:ext uri="{FF2B5EF4-FFF2-40B4-BE49-F238E27FC236}">
              <a16:creationId xmlns:a16="http://schemas.microsoft.com/office/drawing/2014/main" id="{AF414269-77E8-48F7-90B0-98402199B8F8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727080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</xdr:row>
      <xdr:rowOff>0</xdr:rowOff>
    </xdr:from>
    <xdr:ext cx="304800" cy="302284"/>
    <xdr:sp macro="" textlink="">
      <xdr:nvSpPr>
        <xdr:cNvPr id="6405" name="AutoShape 1" descr="Bristol Bears">
          <a:extLst>
            <a:ext uri="{FF2B5EF4-FFF2-40B4-BE49-F238E27FC236}">
              <a16:creationId xmlns:a16="http://schemas.microsoft.com/office/drawing/2014/main" id="{8DE8EA2E-26CF-4C46-948C-3F9AD5731DA9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379562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3</xdr:row>
      <xdr:rowOff>0</xdr:rowOff>
    </xdr:from>
    <xdr:ext cx="304800" cy="302284"/>
    <xdr:sp macro="" textlink="">
      <xdr:nvSpPr>
        <xdr:cNvPr id="6406" name="AutoShape 2" descr="Exeter Chiefs">
          <a:extLst>
            <a:ext uri="{FF2B5EF4-FFF2-40B4-BE49-F238E27FC236}">
              <a16:creationId xmlns:a16="http://schemas.microsoft.com/office/drawing/2014/main" id="{67A37107-E48D-4EE8-938F-6F565CFF8DA5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56934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4</xdr:row>
      <xdr:rowOff>0</xdr:rowOff>
    </xdr:from>
    <xdr:ext cx="304800" cy="302284"/>
    <xdr:sp macro="" textlink="">
      <xdr:nvSpPr>
        <xdr:cNvPr id="6407" name="AutoShape 3" descr="Harlequins">
          <a:extLst>
            <a:ext uri="{FF2B5EF4-FFF2-40B4-BE49-F238E27FC236}">
              <a16:creationId xmlns:a16="http://schemas.microsoft.com/office/drawing/2014/main" id="{478DC7B8-5BAC-40D0-9278-B3AC3A32406E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2284"/>
    <xdr:sp macro="" textlink="">
      <xdr:nvSpPr>
        <xdr:cNvPr id="6408" name="AutoShape 4" descr="Sale Sharks">
          <a:extLst>
            <a:ext uri="{FF2B5EF4-FFF2-40B4-BE49-F238E27FC236}">
              <a16:creationId xmlns:a16="http://schemas.microsoft.com/office/drawing/2014/main" id="{088D3908-B995-403E-8241-3A73C9D94D09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6</xdr:row>
      <xdr:rowOff>0</xdr:rowOff>
    </xdr:from>
    <xdr:ext cx="304800" cy="302284"/>
    <xdr:sp macro="" textlink="">
      <xdr:nvSpPr>
        <xdr:cNvPr id="6409" name="AutoShape 5" descr="Northampton Saints">
          <a:extLst>
            <a:ext uri="{FF2B5EF4-FFF2-40B4-BE49-F238E27FC236}">
              <a16:creationId xmlns:a16="http://schemas.microsoft.com/office/drawing/2014/main" id="{F07457F6-3D46-464E-B940-5CEC543CDC25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7</xdr:row>
      <xdr:rowOff>0</xdr:rowOff>
    </xdr:from>
    <xdr:ext cx="304800" cy="302284"/>
    <xdr:sp macro="" textlink="">
      <xdr:nvSpPr>
        <xdr:cNvPr id="6410" name="AutoShape 6" descr="London Irish">
          <a:extLst>
            <a:ext uri="{FF2B5EF4-FFF2-40B4-BE49-F238E27FC236}">
              <a16:creationId xmlns:a16="http://schemas.microsoft.com/office/drawing/2014/main" id="{94FDF2CD-B5DA-4C28-9CF6-0AF9A6557E02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8</xdr:row>
      <xdr:rowOff>0</xdr:rowOff>
    </xdr:from>
    <xdr:ext cx="304800" cy="302284"/>
    <xdr:sp macro="" textlink="">
      <xdr:nvSpPr>
        <xdr:cNvPr id="6411" name="AutoShape 7" descr="Leicester Tigers">
          <a:extLst>
            <a:ext uri="{FF2B5EF4-FFF2-40B4-BE49-F238E27FC236}">
              <a16:creationId xmlns:a16="http://schemas.microsoft.com/office/drawing/2014/main" id="{EB569E4F-5158-469D-9C4A-EFF139D2C999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9</xdr:row>
      <xdr:rowOff>0</xdr:rowOff>
    </xdr:from>
    <xdr:ext cx="304800" cy="302284"/>
    <xdr:sp macro="" textlink="">
      <xdr:nvSpPr>
        <xdr:cNvPr id="6412" name="AutoShape 8" descr="Newcastle Falcons">
          <a:extLst>
            <a:ext uri="{FF2B5EF4-FFF2-40B4-BE49-F238E27FC236}">
              <a16:creationId xmlns:a16="http://schemas.microsoft.com/office/drawing/2014/main" id="{87970BD6-0758-4E66-95FB-553BB588812D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7</xdr:row>
      <xdr:rowOff>0</xdr:rowOff>
    </xdr:from>
    <xdr:ext cx="304800" cy="302284"/>
    <xdr:sp macro="" textlink="">
      <xdr:nvSpPr>
        <xdr:cNvPr id="6413" name="AutoShape 6" descr="London Irish">
          <a:extLst>
            <a:ext uri="{FF2B5EF4-FFF2-40B4-BE49-F238E27FC236}">
              <a16:creationId xmlns:a16="http://schemas.microsoft.com/office/drawing/2014/main" id="{E9ED7F9A-B9F1-4686-AB98-A7FD93ABFAB8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8</xdr:row>
      <xdr:rowOff>0</xdr:rowOff>
    </xdr:from>
    <xdr:ext cx="304800" cy="302284"/>
    <xdr:sp macro="" textlink="">
      <xdr:nvSpPr>
        <xdr:cNvPr id="6414" name="AutoShape 7" descr="Leicester Tigers">
          <a:extLst>
            <a:ext uri="{FF2B5EF4-FFF2-40B4-BE49-F238E27FC236}">
              <a16:creationId xmlns:a16="http://schemas.microsoft.com/office/drawing/2014/main" id="{822085F4-0B40-457F-BC4C-BE3F26DC32E6}"/>
            </a:ext>
          </a:extLst>
        </xdr:cNvPr>
        <xdr:cNvSpPr>
          <a:spLocks noChangeAspect="1" noChangeArrowheads="1"/>
        </xdr:cNvSpPr>
      </xdr:nvSpPr>
      <xdr:spPr bwMode="auto">
        <a:xfrm>
          <a:off x="22411426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3</xdr:row>
      <xdr:rowOff>0</xdr:rowOff>
    </xdr:from>
    <xdr:ext cx="304800" cy="303002"/>
    <xdr:sp macro="" textlink="">
      <xdr:nvSpPr>
        <xdr:cNvPr id="6415" name="AutoShape 2" descr="Exeter Chiefs">
          <a:extLst>
            <a:ext uri="{FF2B5EF4-FFF2-40B4-BE49-F238E27FC236}">
              <a16:creationId xmlns:a16="http://schemas.microsoft.com/office/drawing/2014/main" id="{9A5E87E1-8E41-41FD-ABA1-745DAC4B36BE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759125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4</xdr:row>
      <xdr:rowOff>0</xdr:rowOff>
    </xdr:from>
    <xdr:ext cx="304800" cy="303003"/>
    <xdr:sp macro="" textlink="">
      <xdr:nvSpPr>
        <xdr:cNvPr id="6416" name="AutoShape 3" descr="Harlequins">
          <a:extLst>
            <a:ext uri="{FF2B5EF4-FFF2-40B4-BE49-F238E27FC236}">
              <a16:creationId xmlns:a16="http://schemas.microsoft.com/office/drawing/2014/main" id="{2DFE8B17-318F-4F0B-9C7F-B563AE9A9605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3003"/>
    <xdr:sp macro="" textlink="">
      <xdr:nvSpPr>
        <xdr:cNvPr id="6417" name="AutoShape 4" descr="Sale Sharks">
          <a:extLst>
            <a:ext uri="{FF2B5EF4-FFF2-40B4-BE49-F238E27FC236}">
              <a16:creationId xmlns:a16="http://schemas.microsoft.com/office/drawing/2014/main" id="{26AA5F9A-FD95-49BA-82B1-CE9618C081D7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6</xdr:row>
      <xdr:rowOff>0</xdr:rowOff>
    </xdr:from>
    <xdr:ext cx="304800" cy="303003"/>
    <xdr:sp macro="" textlink="">
      <xdr:nvSpPr>
        <xdr:cNvPr id="6418" name="AutoShape 5" descr="Northampton Saints">
          <a:extLst>
            <a:ext uri="{FF2B5EF4-FFF2-40B4-BE49-F238E27FC236}">
              <a16:creationId xmlns:a16="http://schemas.microsoft.com/office/drawing/2014/main" id="{93A5E96B-FBAC-4A9E-ACD3-475BBF033FAE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7</xdr:row>
      <xdr:rowOff>0</xdr:rowOff>
    </xdr:from>
    <xdr:ext cx="304800" cy="303003"/>
    <xdr:sp macro="" textlink="">
      <xdr:nvSpPr>
        <xdr:cNvPr id="6419" name="AutoShape 6" descr="London Irish">
          <a:extLst>
            <a:ext uri="{FF2B5EF4-FFF2-40B4-BE49-F238E27FC236}">
              <a16:creationId xmlns:a16="http://schemas.microsoft.com/office/drawing/2014/main" id="{25E5B6C9-B287-4A19-8D7F-3F5DD05DDFED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8</xdr:row>
      <xdr:rowOff>0</xdr:rowOff>
    </xdr:from>
    <xdr:ext cx="304800" cy="303003"/>
    <xdr:sp macro="" textlink="">
      <xdr:nvSpPr>
        <xdr:cNvPr id="6420" name="AutoShape 7" descr="Leicester Tigers">
          <a:extLst>
            <a:ext uri="{FF2B5EF4-FFF2-40B4-BE49-F238E27FC236}">
              <a16:creationId xmlns:a16="http://schemas.microsoft.com/office/drawing/2014/main" id="{969FE187-F643-494D-9B39-294F303D5C30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0</xdr:rowOff>
    </xdr:from>
    <xdr:ext cx="304800" cy="303003"/>
    <xdr:sp macro="" textlink="">
      <xdr:nvSpPr>
        <xdr:cNvPr id="6421" name="AutoShape 8" descr="Newcastle Falcons">
          <a:extLst>
            <a:ext uri="{FF2B5EF4-FFF2-40B4-BE49-F238E27FC236}">
              <a16:creationId xmlns:a16="http://schemas.microsoft.com/office/drawing/2014/main" id="{381BD23D-C739-44A4-8302-DE2F0990AAA5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89781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19050</xdr:rowOff>
    </xdr:from>
    <xdr:ext cx="295275" cy="303003"/>
    <xdr:sp macro="" textlink="">
      <xdr:nvSpPr>
        <xdr:cNvPr id="6422" name="AutoShape 9" descr="Bath Rugby">
          <a:extLst>
            <a:ext uri="{FF2B5EF4-FFF2-40B4-BE49-F238E27FC236}">
              <a16:creationId xmlns:a16="http://schemas.microsoft.com/office/drawing/2014/main" id="{99F7F437-E770-4D12-A25E-BD64603AD3C1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916861"/>
          <a:ext cx="295275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3</xdr:row>
      <xdr:rowOff>0</xdr:rowOff>
    </xdr:from>
    <xdr:ext cx="304800" cy="302284"/>
    <xdr:sp macro="" textlink="">
      <xdr:nvSpPr>
        <xdr:cNvPr id="6423" name="AutoShape 2" descr="Exeter Chiefs">
          <a:extLst>
            <a:ext uri="{FF2B5EF4-FFF2-40B4-BE49-F238E27FC236}">
              <a16:creationId xmlns:a16="http://schemas.microsoft.com/office/drawing/2014/main" id="{7980336E-3404-4212-A5DB-EC726994E4C2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4</xdr:row>
      <xdr:rowOff>0</xdr:rowOff>
    </xdr:from>
    <xdr:ext cx="304800" cy="302284"/>
    <xdr:sp macro="" textlink="">
      <xdr:nvSpPr>
        <xdr:cNvPr id="6424" name="AutoShape 3" descr="Harlequins">
          <a:extLst>
            <a:ext uri="{FF2B5EF4-FFF2-40B4-BE49-F238E27FC236}">
              <a16:creationId xmlns:a16="http://schemas.microsoft.com/office/drawing/2014/main" id="{46BE6E98-6D72-4CEA-B5E2-66DF50F34529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2284"/>
    <xdr:sp macro="" textlink="">
      <xdr:nvSpPr>
        <xdr:cNvPr id="6425" name="AutoShape 4" descr="Sale Sharks">
          <a:extLst>
            <a:ext uri="{FF2B5EF4-FFF2-40B4-BE49-F238E27FC236}">
              <a16:creationId xmlns:a16="http://schemas.microsoft.com/office/drawing/2014/main" id="{ED66566B-8FF7-4AF7-ABF6-B465A48EB898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6</xdr:row>
      <xdr:rowOff>0</xdr:rowOff>
    </xdr:from>
    <xdr:ext cx="304800" cy="302284"/>
    <xdr:sp macro="" textlink="">
      <xdr:nvSpPr>
        <xdr:cNvPr id="6426" name="AutoShape 5" descr="Northampton Saints">
          <a:extLst>
            <a:ext uri="{FF2B5EF4-FFF2-40B4-BE49-F238E27FC236}">
              <a16:creationId xmlns:a16="http://schemas.microsoft.com/office/drawing/2014/main" id="{8749D251-04C8-47F0-88BC-F0154B7D5B9B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7</xdr:row>
      <xdr:rowOff>0</xdr:rowOff>
    </xdr:from>
    <xdr:ext cx="304800" cy="302284"/>
    <xdr:sp macro="" textlink="">
      <xdr:nvSpPr>
        <xdr:cNvPr id="6427" name="AutoShape 6" descr="London Irish">
          <a:extLst>
            <a:ext uri="{FF2B5EF4-FFF2-40B4-BE49-F238E27FC236}">
              <a16:creationId xmlns:a16="http://schemas.microsoft.com/office/drawing/2014/main" id="{3E80BCBC-D8E5-4768-A596-F91AFD06C0F3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8</xdr:row>
      <xdr:rowOff>0</xdr:rowOff>
    </xdr:from>
    <xdr:ext cx="304800" cy="302284"/>
    <xdr:sp macro="" textlink="">
      <xdr:nvSpPr>
        <xdr:cNvPr id="6428" name="AutoShape 7" descr="Leicester Tigers">
          <a:extLst>
            <a:ext uri="{FF2B5EF4-FFF2-40B4-BE49-F238E27FC236}">
              <a16:creationId xmlns:a16="http://schemas.microsoft.com/office/drawing/2014/main" id="{8C953D25-8DA6-41E6-8CF4-C2569E363041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0</xdr:rowOff>
    </xdr:from>
    <xdr:ext cx="304800" cy="302284"/>
    <xdr:sp macro="" textlink="">
      <xdr:nvSpPr>
        <xdr:cNvPr id="6429" name="AutoShape 8" descr="Newcastle Falcons">
          <a:extLst>
            <a:ext uri="{FF2B5EF4-FFF2-40B4-BE49-F238E27FC236}">
              <a16:creationId xmlns:a16="http://schemas.microsoft.com/office/drawing/2014/main" id="{ADB7F6C0-FB4C-4A87-9C4C-92D967E340DE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609600</xdr:colOff>
      <xdr:row>10</xdr:row>
      <xdr:rowOff>19050</xdr:rowOff>
    </xdr:from>
    <xdr:ext cx="298150" cy="302284"/>
    <xdr:sp macro="" textlink="">
      <xdr:nvSpPr>
        <xdr:cNvPr id="6430" name="AutoShape 9" descr="Bath Rugby">
          <a:extLst>
            <a:ext uri="{FF2B5EF4-FFF2-40B4-BE49-F238E27FC236}">
              <a16:creationId xmlns:a16="http://schemas.microsoft.com/office/drawing/2014/main" id="{AE1534B3-C0F7-4899-9A79-D49018D54D8B}"/>
            </a:ext>
          </a:extLst>
        </xdr:cNvPr>
        <xdr:cNvSpPr>
          <a:spLocks noChangeAspect="1" noChangeArrowheads="1"/>
        </xdr:cNvSpPr>
      </xdr:nvSpPr>
      <xdr:spPr bwMode="auto">
        <a:xfrm>
          <a:off x="10504098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3</xdr:row>
      <xdr:rowOff>0</xdr:rowOff>
    </xdr:from>
    <xdr:ext cx="304800" cy="302284"/>
    <xdr:sp macro="" textlink="">
      <xdr:nvSpPr>
        <xdr:cNvPr id="6431" name="AutoShape 2" descr="Exeter Chiefs">
          <a:extLst>
            <a:ext uri="{FF2B5EF4-FFF2-40B4-BE49-F238E27FC236}">
              <a16:creationId xmlns:a16="http://schemas.microsoft.com/office/drawing/2014/main" id="{B15E38EE-B851-48AE-A6B7-107EA7017CC5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759125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4</xdr:row>
      <xdr:rowOff>0</xdr:rowOff>
    </xdr:from>
    <xdr:ext cx="304800" cy="302284"/>
    <xdr:sp macro="" textlink="">
      <xdr:nvSpPr>
        <xdr:cNvPr id="6432" name="AutoShape 3" descr="Harlequins">
          <a:extLst>
            <a:ext uri="{FF2B5EF4-FFF2-40B4-BE49-F238E27FC236}">
              <a16:creationId xmlns:a16="http://schemas.microsoft.com/office/drawing/2014/main" id="{9CB228F6-F7B5-4D55-B254-2D4A2A3CB41C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2284"/>
    <xdr:sp macro="" textlink="">
      <xdr:nvSpPr>
        <xdr:cNvPr id="6433" name="AutoShape 4" descr="Sale Sharks">
          <a:extLst>
            <a:ext uri="{FF2B5EF4-FFF2-40B4-BE49-F238E27FC236}">
              <a16:creationId xmlns:a16="http://schemas.microsoft.com/office/drawing/2014/main" id="{19DF4C6E-897F-4C5B-BC8F-4956BEA98550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6</xdr:row>
      <xdr:rowOff>0</xdr:rowOff>
    </xdr:from>
    <xdr:ext cx="304800" cy="302284"/>
    <xdr:sp macro="" textlink="">
      <xdr:nvSpPr>
        <xdr:cNvPr id="6434" name="AutoShape 5" descr="Northampton Saints">
          <a:extLst>
            <a:ext uri="{FF2B5EF4-FFF2-40B4-BE49-F238E27FC236}">
              <a16:creationId xmlns:a16="http://schemas.microsoft.com/office/drawing/2014/main" id="{5FEC338C-0964-4269-B0F5-B86E9ABDB385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7</xdr:row>
      <xdr:rowOff>0</xdr:rowOff>
    </xdr:from>
    <xdr:ext cx="304800" cy="302284"/>
    <xdr:sp macro="" textlink="">
      <xdr:nvSpPr>
        <xdr:cNvPr id="6435" name="AutoShape 6" descr="London Irish">
          <a:extLst>
            <a:ext uri="{FF2B5EF4-FFF2-40B4-BE49-F238E27FC236}">
              <a16:creationId xmlns:a16="http://schemas.microsoft.com/office/drawing/2014/main" id="{6C384E89-D9F7-4880-B401-D9725B8C89CC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8</xdr:row>
      <xdr:rowOff>0</xdr:rowOff>
    </xdr:from>
    <xdr:ext cx="304800" cy="302284"/>
    <xdr:sp macro="" textlink="">
      <xdr:nvSpPr>
        <xdr:cNvPr id="6436" name="AutoShape 7" descr="Leicester Tigers">
          <a:extLst>
            <a:ext uri="{FF2B5EF4-FFF2-40B4-BE49-F238E27FC236}">
              <a16:creationId xmlns:a16="http://schemas.microsoft.com/office/drawing/2014/main" id="{5C247DEB-892D-4FF4-A1D1-ABEDED123507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0</xdr:rowOff>
    </xdr:from>
    <xdr:ext cx="304800" cy="302284"/>
    <xdr:sp macro="" textlink="">
      <xdr:nvSpPr>
        <xdr:cNvPr id="6437" name="AutoShape 8" descr="Newcastle Falcons">
          <a:extLst>
            <a:ext uri="{FF2B5EF4-FFF2-40B4-BE49-F238E27FC236}">
              <a16:creationId xmlns:a16="http://schemas.microsoft.com/office/drawing/2014/main" id="{6DD39884-D135-4874-B886-CF235FCE3850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609600</xdr:colOff>
      <xdr:row>10</xdr:row>
      <xdr:rowOff>19050</xdr:rowOff>
    </xdr:from>
    <xdr:ext cx="298150" cy="302284"/>
    <xdr:sp macro="" textlink="">
      <xdr:nvSpPr>
        <xdr:cNvPr id="6438" name="AutoShape 9" descr="Bath Rugby">
          <a:extLst>
            <a:ext uri="{FF2B5EF4-FFF2-40B4-BE49-F238E27FC236}">
              <a16:creationId xmlns:a16="http://schemas.microsoft.com/office/drawing/2014/main" id="{E41760F5-A8B5-4A32-B0D6-E40C022A9AA0}"/>
            </a:ext>
          </a:extLst>
        </xdr:cNvPr>
        <xdr:cNvSpPr>
          <a:spLocks noChangeAspect="1" noChangeArrowheads="1"/>
        </xdr:cNvSpPr>
      </xdr:nvSpPr>
      <xdr:spPr bwMode="auto">
        <a:xfrm>
          <a:off x="10504098" y="2106642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612475</xdr:colOff>
      <xdr:row>53</xdr:row>
      <xdr:rowOff>17252</xdr:rowOff>
    </xdr:from>
    <xdr:ext cx="304800" cy="303002"/>
    <xdr:sp macro="" textlink="">
      <xdr:nvSpPr>
        <xdr:cNvPr id="6439" name="AutoShape 2" descr="Exeter Chiefs">
          <a:extLst>
            <a:ext uri="{FF2B5EF4-FFF2-40B4-BE49-F238E27FC236}">
              <a16:creationId xmlns:a16="http://schemas.microsoft.com/office/drawing/2014/main" id="{43B47000-06BC-4D6B-B8E4-8BBAB6C27090}"/>
            </a:ext>
          </a:extLst>
        </xdr:cNvPr>
        <xdr:cNvSpPr>
          <a:spLocks noChangeAspect="1" noChangeArrowheads="1"/>
        </xdr:cNvSpPr>
      </xdr:nvSpPr>
      <xdr:spPr bwMode="auto">
        <a:xfrm>
          <a:off x="612475" y="9885871"/>
          <a:ext cx="304800" cy="30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4</xdr:row>
      <xdr:rowOff>0</xdr:rowOff>
    </xdr:from>
    <xdr:ext cx="304800" cy="303003"/>
    <xdr:sp macro="" textlink="">
      <xdr:nvSpPr>
        <xdr:cNvPr id="6440" name="AutoShape 3" descr="Harlequins">
          <a:extLst>
            <a:ext uri="{FF2B5EF4-FFF2-40B4-BE49-F238E27FC236}">
              <a16:creationId xmlns:a16="http://schemas.microsoft.com/office/drawing/2014/main" id="{16646738-9B48-4977-9785-3D4E163372BC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948906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3003"/>
    <xdr:sp macro="" textlink="">
      <xdr:nvSpPr>
        <xdr:cNvPr id="6441" name="AutoShape 4" descr="Sale Sharks">
          <a:extLst>
            <a:ext uri="{FF2B5EF4-FFF2-40B4-BE49-F238E27FC236}">
              <a16:creationId xmlns:a16="http://schemas.microsoft.com/office/drawing/2014/main" id="{3F0F3621-CD62-4B19-9346-D78E771F0741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138687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6</xdr:row>
      <xdr:rowOff>0</xdr:rowOff>
    </xdr:from>
    <xdr:ext cx="304800" cy="303003"/>
    <xdr:sp macro="" textlink="">
      <xdr:nvSpPr>
        <xdr:cNvPr id="6442" name="AutoShape 5" descr="Northampton Saints">
          <a:extLst>
            <a:ext uri="{FF2B5EF4-FFF2-40B4-BE49-F238E27FC236}">
              <a16:creationId xmlns:a16="http://schemas.microsoft.com/office/drawing/2014/main" id="{810D956B-D1CF-4DCF-A348-305A4AFD9A99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328468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7</xdr:row>
      <xdr:rowOff>0</xdr:rowOff>
    </xdr:from>
    <xdr:ext cx="304800" cy="303003"/>
    <xdr:sp macro="" textlink="">
      <xdr:nvSpPr>
        <xdr:cNvPr id="6443" name="AutoShape 6" descr="London Irish">
          <a:extLst>
            <a:ext uri="{FF2B5EF4-FFF2-40B4-BE49-F238E27FC236}">
              <a16:creationId xmlns:a16="http://schemas.microsoft.com/office/drawing/2014/main" id="{792B1AB1-CA0C-4A38-BA27-608B301AEEC2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518249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8</xdr:row>
      <xdr:rowOff>0</xdr:rowOff>
    </xdr:from>
    <xdr:ext cx="304800" cy="303003"/>
    <xdr:sp macro="" textlink="">
      <xdr:nvSpPr>
        <xdr:cNvPr id="6444" name="AutoShape 7" descr="Leicester Tigers">
          <a:extLst>
            <a:ext uri="{FF2B5EF4-FFF2-40B4-BE49-F238E27FC236}">
              <a16:creationId xmlns:a16="http://schemas.microsoft.com/office/drawing/2014/main" id="{8BA1EB5D-A1FC-4E28-937D-8A7A7A0DDB10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708030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0</xdr:rowOff>
    </xdr:from>
    <xdr:ext cx="304800" cy="303003"/>
    <xdr:sp macro="" textlink="">
      <xdr:nvSpPr>
        <xdr:cNvPr id="6445" name="AutoShape 8" descr="Newcastle Falcons">
          <a:extLst>
            <a:ext uri="{FF2B5EF4-FFF2-40B4-BE49-F238E27FC236}">
              <a16:creationId xmlns:a16="http://schemas.microsoft.com/office/drawing/2014/main" id="{C9989DBE-2A76-479B-886C-D1A6AC21136D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897811"/>
          <a:ext cx="304800" cy="303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4</xdr:row>
      <xdr:rowOff>0</xdr:rowOff>
    </xdr:from>
    <xdr:ext cx="304800" cy="302284"/>
    <xdr:sp macro="" textlink="">
      <xdr:nvSpPr>
        <xdr:cNvPr id="6446" name="AutoShape 3" descr="Harlequins">
          <a:extLst>
            <a:ext uri="{FF2B5EF4-FFF2-40B4-BE49-F238E27FC236}">
              <a16:creationId xmlns:a16="http://schemas.microsoft.com/office/drawing/2014/main" id="{DE70524F-43B6-4CB3-B22D-9DD2028B0399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2284"/>
    <xdr:sp macro="" textlink="">
      <xdr:nvSpPr>
        <xdr:cNvPr id="6447" name="AutoShape 4" descr="Sale Sharks">
          <a:extLst>
            <a:ext uri="{FF2B5EF4-FFF2-40B4-BE49-F238E27FC236}">
              <a16:creationId xmlns:a16="http://schemas.microsoft.com/office/drawing/2014/main" id="{ECCD51DE-F277-437F-BB09-F77C66E8D7AE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6</xdr:row>
      <xdr:rowOff>0</xdr:rowOff>
    </xdr:from>
    <xdr:ext cx="304800" cy="302284"/>
    <xdr:sp macro="" textlink="">
      <xdr:nvSpPr>
        <xdr:cNvPr id="6448" name="AutoShape 5" descr="Northampton Saints">
          <a:extLst>
            <a:ext uri="{FF2B5EF4-FFF2-40B4-BE49-F238E27FC236}">
              <a16:creationId xmlns:a16="http://schemas.microsoft.com/office/drawing/2014/main" id="{DEEF004B-53F1-49E0-A3EE-EF175FB028C2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328468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7</xdr:row>
      <xdr:rowOff>0</xdr:rowOff>
    </xdr:from>
    <xdr:ext cx="304800" cy="302284"/>
    <xdr:sp macro="" textlink="">
      <xdr:nvSpPr>
        <xdr:cNvPr id="6449" name="AutoShape 6" descr="London Irish">
          <a:extLst>
            <a:ext uri="{FF2B5EF4-FFF2-40B4-BE49-F238E27FC236}">
              <a16:creationId xmlns:a16="http://schemas.microsoft.com/office/drawing/2014/main" id="{729D34DB-3A3F-4FE7-AB11-9690053F1C8E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8</xdr:row>
      <xdr:rowOff>0</xdr:rowOff>
    </xdr:from>
    <xdr:ext cx="304800" cy="302284"/>
    <xdr:sp macro="" textlink="">
      <xdr:nvSpPr>
        <xdr:cNvPr id="6450" name="AutoShape 7" descr="Leicester Tigers">
          <a:extLst>
            <a:ext uri="{FF2B5EF4-FFF2-40B4-BE49-F238E27FC236}">
              <a16:creationId xmlns:a16="http://schemas.microsoft.com/office/drawing/2014/main" id="{9E0B17EF-82DB-49A9-A5B7-635114AC9FE0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0</xdr:rowOff>
    </xdr:from>
    <xdr:ext cx="304800" cy="302284"/>
    <xdr:sp macro="" textlink="">
      <xdr:nvSpPr>
        <xdr:cNvPr id="6451" name="AutoShape 8" descr="Newcastle Falcons">
          <a:extLst>
            <a:ext uri="{FF2B5EF4-FFF2-40B4-BE49-F238E27FC236}">
              <a16:creationId xmlns:a16="http://schemas.microsoft.com/office/drawing/2014/main" id="{1C54FB9A-194A-405A-B213-D21E76B1E405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4</xdr:row>
      <xdr:rowOff>0</xdr:rowOff>
    </xdr:from>
    <xdr:ext cx="304800" cy="302284"/>
    <xdr:sp macro="" textlink="">
      <xdr:nvSpPr>
        <xdr:cNvPr id="6452" name="AutoShape 3" descr="Harlequins">
          <a:extLst>
            <a:ext uri="{FF2B5EF4-FFF2-40B4-BE49-F238E27FC236}">
              <a16:creationId xmlns:a16="http://schemas.microsoft.com/office/drawing/2014/main" id="{6F2B8053-6BDD-44F3-A1C8-765406638B08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948906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2284"/>
    <xdr:sp macro="" textlink="">
      <xdr:nvSpPr>
        <xdr:cNvPr id="6453" name="AutoShape 4" descr="Sale Sharks">
          <a:extLst>
            <a:ext uri="{FF2B5EF4-FFF2-40B4-BE49-F238E27FC236}">
              <a16:creationId xmlns:a16="http://schemas.microsoft.com/office/drawing/2014/main" id="{671A7225-B6A5-43C4-AD51-C546C8478B8E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138687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267419</xdr:colOff>
      <xdr:row>45</xdr:row>
      <xdr:rowOff>43132</xdr:rowOff>
    </xdr:from>
    <xdr:ext cx="304800" cy="302284"/>
    <xdr:sp macro="" textlink="">
      <xdr:nvSpPr>
        <xdr:cNvPr id="6454" name="AutoShape 5" descr="Northampton Saints">
          <a:extLst>
            <a:ext uri="{FF2B5EF4-FFF2-40B4-BE49-F238E27FC236}">
              <a16:creationId xmlns:a16="http://schemas.microsoft.com/office/drawing/2014/main" id="{EDFFC86D-C5B9-494A-9E03-8DDCAE7C08DB}"/>
            </a:ext>
          </a:extLst>
        </xdr:cNvPr>
        <xdr:cNvSpPr>
          <a:spLocks noChangeAspect="1" noChangeArrowheads="1"/>
        </xdr:cNvSpPr>
      </xdr:nvSpPr>
      <xdr:spPr bwMode="auto">
        <a:xfrm>
          <a:off x="3183147" y="8583283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7</xdr:row>
      <xdr:rowOff>0</xdr:rowOff>
    </xdr:from>
    <xdr:ext cx="304800" cy="302284"/>
    <xdr:sp macro="" textlink="">
      <xdr:nvSpPr>
        <xdr:cNvPr id="6455" name="AutoShape 6" descr="London Irish">
          <a:extLst>
            <a:ext uri="{FF2B5EF4-FFF2-40B4-BE49-F238E27FC236}">
              <a16:creationId xmlns:a16="http://schemas.microsoft.com/office/drawing/2014/main" id="{6C60E433-72B9-4042-8261-FB0767F931DF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518249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8</xdr:row>
      <xdr:rowOff>0</xdr:rowOff>
    </xdr:from>
    <xdr:ext cx="304800" cy="302284"/>
    <xdr:sp macro="" textlink="">
      <xdr:nvSpPr>
        <xdr:cNvPr id="6456" name="AutoShape 7" descr="Leicester Tigers">
          <a:extLst>
            <a:ext uri="{FF2B5EF4-FFF2-40B4-BE49-F238E27FC236}">
              <a16:creationId xmlns:a16="http://schemas.microsoft.com/office/drawing/2014/main" id="{3F7AB499-BF38-48FD-988B-6A06C4756D00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708030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9</xdr:row>
      <xdr:rowOff>0</xdr:rowOff>
    </xdr:from>
    <xdr:ext cx="304800" cy="302284"/>
    <xdr:sp macro="" textlink="">
      <xdr:nvSpPr>
        <xdr:cNvPr id="6457" name="AutoShape 8" descr="Newcastle Falcons">
          <a:extLst>
            <a:ext uri="{FF2B5EF4-FFF2-40B4-BE49-F238E27FC236}">
              <a16:creationId xmlns:a16="http://schemas.microsoft.com/office/drawing/2014/main" id="{35908803-8CB0-443D-A45F-F68A1F3A944F}"/>
            </a:ext>
          </a:extLst>
        </xdr:cNvPr>
        <xdr:cNvSpPr>
          <a:spLocks noChangeAspect="1" noChangeArrowheads="1"/>
        </xdr:cNvSpPr>
      </xdr:nvSpPr>
      <xdr:spPr bwMode="auto">
        <a:xfrm>
          <a:off x="10506974" y="1897811"/>
          <a:ext cx="30480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562633</xdr:colOff>
      <xdr:row>56</xdr:row>
      <xdr:rowOff>155155</xdr:rowOff>
    </xdr:from>
    <xdr:ext cx="298150" cy="302284"/>
    <xdr:sp macro="" textlink="">
      <xdr:nvSpPr>
        <xdr:cNvPr id="6458" name="AutoShape 9" descr="Bath Rugby">
          <a:extLst>
            <a:ext uri="{FF2B5EF4-FFF2-40B4-BE49-F238E27FC236}">
              <a16:creationId xmlns:a16="http://schemas.microsoft.com/office/drawing/2014/main" id="{B9AC5B68-C443-4FCF-8E6B-16B075B46840}"/>
            </a:ext>
          </a:extLst>
        </xdr:cNvPr>
        <xdr:cNvSpPr>
          <a:spLocks noChangeAspect="1" noChangeArrowheads="1"/>
        </xdr:cNvSpPr>
      </xdr:nvSpPr>
      <xdr:spPr bwMode="auto">
        <a:xfrm>
          <a:off x="562633" y="10403336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208950</xdr:colOff>
      <xdr:row>53</xdr:row>
      <xdr:rowOff>163782</xdr:rowOff>
    </xdr:from>
    <xdr:ext cx="298150" cy="302284"/>
    <xdr:sp macro="" textlink="">
      <xdr:nvSpPr>
        <xdr:cNvPr id="6459" name="AutoShape 9" descr="Bath Rugby">
          <a:extLst>
            <a:ext uri="{FF2B5EF4-FFF2-40B4-BE49-F238E27FC236}">
              <a16:creationId xmlns:a16="http://schemas.microsoft.com/office/drawing/2014/main" id="{ABF50725-FC2A-43C9-AB37-143BDA82A3BA}"/>
            </a:ext>
          </a:extLst>
        </xdr:cNvPr>
        <xdr:cNvSpPr>
          <a:spLocks noChangeAspect="1" noChangeArrowheads="1"/>
        </xdr:cNvSpPr>
      </xdr:nvSpPr>
      <xdr:spPr bwMode="auto">
        <a:xfrm>
          <a:off x="1804837" y="10032401"/>
          <a:ext cx="298150" cy="30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238053</xdr:colOff>
      <xdr:row>7</xdr:row>
      <xdr:rowOff>104822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E16C4F-819D-4474-A0B0-5A2185F42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4475" y="0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2</xdr:col>
      <xdr:colOff>850528</xdr:colOff>
      <xdr:row>225</xdr:row>
      <xdr:rowOff>165207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7AC9E2-7640-46C8-BC0F-F0E5743C6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9291"/>
          <a:ext cx="1445751" cy="14332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101</xdr:row>
      <xdr:rowOff>0</xdr:rowOff>
    </xdr:from>
    <xdr:to>
      <xdr:col>3</xdr:col>
      <xdr:colOff>220800</xdr:colOff>
      <xdr:row>108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BF3FD-622F-4D5A-9864-47FAE7E76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02136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3</xdr:col>
      <xdr:colOff>220800</xdr:colOff>
      <xdr:row>107</xdr:row>
      <xdr:rowOff>165207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B3968E-81BF-4252-BB39-DDA4981C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20981"/>
          <a:ext cx="1445751" cy="14332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2</xdr:col>
      <xdr:colOff>376076</xdr:colOff>
      <xdr:row>43</xdr:row>
      <xdr:rowOff>168085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A17F2F-0333-4F7A-B104-4CD3308CF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58400"/>
          <a:ext cx="1445751" cy="1433291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238053</xdr:colOff>
      <xdr:row>7</xdr:row>
      <xdr:rowOff>77984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FECBE-A881-4FAE-8B63-0D144B4A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5622" y="0"/>
          <a:ext cx="1445752" cy="1419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A028-232A-4FC7-B399-6CCFC9B740F7}">
  <dimension ref="A1:I19"/>
  <sheetViews>
    <sheetView workbookViewId="0">
      <selection activeCell="H26" sqref="H26"/>
    </sheetView>
  </sheetViews>
  <sheetFormatPr defaultRowHeight="14.3" x14ac:dyDescent="0.25"/>
  <cols>
    <col min="1" max="1" width="15.375" bestFit="1" customWidth="1"/>
    <col min="6" max="6" width="11.625" bestFit="1" customWidth="1"/>
  </cols>
  <sheetData>
    <row r="1" spans="1:9" x14ac:dyDescent="0.25">
      <c r="A1" s="319" t="s">
        <v>210</v>
      </c>
      <c r="B1" s="320"/>
      <c r="C1" s="320"/>
      <c r="D1" s="320"/>
      <c r="E1" s="320"/>
      <c r="F1" s="320"/>
      <c r="G1" s="320"/>
      <c r="H1" s="320"/>
      <c r="I1" s="320"/>
    </row>
    <row r="2" spans="1:9" x14ac:dyDescent="0.25">
      <c r="A2" s="321"/>
      <c r="B2" s="322" t="s">
        <v>64</v>
      </c>
      <c r="C2" s="322" t="s">
        <v>65</v>
      </c>
      <c r="D2" s="322" t="s">
        <v>66</v>
      </c>
      <c r="E2" s="322" t="s">
        <v>192</v>
      </c>
      <c r="F2" s="322" t="s">
        <v>189</v>
      </c>
      <c r="G2" s="322" t="s">
        <v>67</v>
      </c>
      <c r="H2" s="322" t="s">
        <v>68</v>
      </c>
      <c r="I2" s="322" t="s">
        <v>69</v>
      </c>
    </row>
    <row r="3" spans="1:9" x14ac:dyDescent="0.25">
      <c r="A3" s="323" t="s">
        <v>53</v>
      </c>
      <c r="B3" s="324">
        <f>139+Bristolpremseasontotalsplayed</f>
        <v>152</v>
      </c>
      <c r="C3" s="324">
        <f>70+Bristolpremseasontotalswon</f>
        <v>74</v>
      </c>
      <c r="D3" s="324">
        <f>67+Bristolpremseasontotalslost</f>
        <v>75</v>
      </c>
      <c r="E3" s="324">
        <f>2+Bristolpremseasontotalsdrawn</f>
        <v>3</v>
      </c>
      <c r="F3" s="439">
        <f t="shared" ref="F3:F16" si="0">SUM(C3+E3*0.5)/B3</f>
        <v>0.49671052631578949</v>
      </c>
      <c r="G3" s="324">
        <f>3834+Bristolpremseasontotalsptsscored</f>
        <v>4182</v>
      </c>
      <c r="H3" s="324">
        <f>3182+Bristolpremseasontotalsptsagainst</f>
        <v>3561</v>
      </c>
      <c r="I3" s="324">
        <f t="shared" ref="I3:I17" si="1">SUM(G3-H3)</f>
        <v>621</v>
      </c>
    </row>
    <row r="4" spans="1:9" x14ac:dyDescent="0.25">
      <c r="A4" s="326" t="s">
        <v>125</v>
      </c>
      <c r="B4" s="325">
        <v>102</v>
      </c>
      <c r="C4" s="325">
        <v>16</v>
      </c>
      <c r="D4" s="325">
        <v>85</v>
      </c>
      <c r="E4" s="325">
        <v>1</v>
      </c>
      <c r="F4" s="440">
        <f t="shared" si="0"/>
        <v>0.16176470588235295</v>
      </c>
      <c r="G4" s="325">
        <v>991</v>
      </c>
      <c r="H4" s="325">
        <v>4844</v>
      </c>
      <c r="I4" s="325">
        <f t="shared" si="1"/>
        <v>-3853</v>
      </c>
    </row>
    <row r="5" spans="1:9" x14ac:dyDescent="0.25">
      <c r="A5" s="323" t="s">
        <v>52</v>
      </c>
      <c r="B5" s="324">
        <f>91+Exepremtotalsplayed</f>
        <v>105</v>
      </c>
      <c r="C5" s="324">
        <f>60+Exepremtotalswon</f>
        <v>67</v>
      </c>
      <c r="D5" s="324">
        <f>29+Exepremtotalslost</f>
        <v>33</v>
      </c>
      <c r="E5" s="324">
        <f>2+exeterpremdrawn</f>
        <v>5</v>
      </c>
      <c r="F5" s="439">
        <f t="shared" si="0"/>
        <v>0.66190476190476188</v>
      </c>
      <c r="G5" s="324">
        <f>3041+Exepremtotalsptsscored</f>
        <v>3453</v>
      </c>
      <c r="H5" s="324">
        <f>1677+Exepremtotalsptsagainst</f>
        <v>1988</v>
      </c>
      <c r="I5" s="324">
        <f t="shared" si="1"/>
        <v>1465</v>
      </c>
    </row>
    <row r="6" spans="1:9" x14ac:dyDescent="0.25">
      <c r="A6" s="323" t="s">
        <v>63</v>
      </c>
      <c r="B6" s="324">
        <f>141+gloucesterpremseasontotalsplayed</f>
        <v>154</v>
      </c>
      <c r="C6" s="324">
        <f>95+gloucesterpremseasontotalswon</f>
        <v>108</v>
      </c>
      <c r="D6" s="324">
        <f>43+gloucesterpremseasontotalslost</f>
        <v>43</v>
      </c>
      <c r="E6" s="324">
        <f>3+gloucesterpremseasontotalsdrawn</f>
        <v>3</v>
      </c>
      <c r="F6" s="439">
        <f t="shared" si="0"/>
        <v>0.71103896103896103</v>
      </c>
      <c r="G6" s="324">
        <f>4635+gloucesterpremseasontotalsptsscored</f>
        <v>5168</v>
      </c>
      <c r="H6" s="324">
        <f>2842+gloucesterpremseasontotalsptsagainst</f>
        <v>3121</v>
      </c>
      <c r="I6" s="324">
        <f t="shared" si="1"/>
        <v>2047</v>
      </c>
    </row>
    <row r="7" spans="1:9" x14ac:dyDescent="0.25">
      <c r="A7" s="323" t="s">
        <v>0</v>
      </c>
      <c r="B7" s="324">
        <f>142+harpremseasontotalsplayed</f>
        <v>156</v>
      </c>
      <c r="C7" s="324">
        <f>97+harpremseasontotalswon</f>
        <v>102</v>
      </c>
      <c r="D7" s="324">
        <f>41+harpremseasontotalslost</f>
        <v>49</v>
      </c>
      <c r="E7" s="324">
        <f>4+harpremseasontotalsdrawn</f>
        <v>5</v>
      </c>
      <c r="F7" s="439">
        <f t="shared" si="0"/>
        <v>0.66987179487179482</v>
      </c>
      <c r="G7" s="324">
        <f>4891+harpremseasontotalsptsscored</f>
        <v>5289</v>
      </c>
      <c r="H7" s="324">
        <f>2630+harpremseasontotalsptsagaintss</f>
        <v>3066</v>
      </c>
      <c r="I7" s="324">
        <f t="shared" si="1"/>
        <v>2223</v>
      </c>
    </row>
    <row r="8" spans="1:9" x14ac:dyDescent="0.25">
      <c r="A8" s="323" t="s">
        <v>70</v>
      </c>
      <c r="B8" s="324">
        <f>32+leipremseasontotalsplayed</f>
        <v>45</v>
      </c>
      <c r="C8" s="324">
        <f>5+leipremseasontotalswon</f>
        <v>5</v>
      </c>
      <c r="D8" s="324">
        <f>27+leipremseasontotalslost</f>
        <v>40</v>
      </c>
      <c r="E8" s="324">
        <f>0+leipremseasontotalsdrawn</f>
        <v>0</v>
      </c>
      <c r="F8" s="439">
        <f t="shared" si="0"/>
        <v>0.1111111111111111</v>
      </c>
      <c r="G8" s="324">
        <f>610+leipremseasontotalsptsscored</f>
        <v>719</v>
      </c>
      <c r="H8" s="324">
        <f>1352+leipremseasontotalsptsagainsst</f>
        <v>2119</v>
      </c>
      <c r="I8" s="324">
        <f t="shared" si="1"/>
        <v>-1400</v>
      </c>
    </row>
    <row r="9" spans="1:9" x14ac:dyDescent="0.25">
      <c r="A9" s="323" t="s">
        <v>540</v>
      </c>
      <c r="B9" s="324">
        <f>135+loupremseasontotalsplayed</f>
        <v>148</v>
      </c>
      <c r="C9" s="324">
        <f>72+loupremseasontotalswon</f>
        <v>76</v>
      </c>
      <c r="D9" s="324">
        <f>60+loupremseasontotalslost</f>
        <v>67</v>
      </c>
      <c r="E9" s="324">
        <f>3+loupremseasontotalsdrawn</f>
        <v>5</v>
      </c>
      <c r="F9" s="439">
        <f t="shared" si="0"/>
        <v>0.53040540540540537</v>
      </c>
      <c r="G9" s="324">
        <f>3797+loupremseasontotalsptsscored</f>
        <v>4178</v>
      </c>
      <c r="H9" s="324">
        <f>3050+loupremseasontotalsptsagainst</f>
        <v>3445</v>
      </c>
      <c r="I9" s="324">
        <f t="shared" si="1"/>
        <v>733</v>
      </c>
    </row>
    <row r="10" spans="1:9" x14ac:dyDescent="0.25">
      <c r="A10" s="326" t="s">
        <v>71</v>
      </c>
      <c r="B10" s="325">
        <v>48</v>
      </c>
      <c r="C10" s="325">
        <v>13</v>
      </c>
      <c r="D10" s="325">
        <v>33</v>
      </c>
      <c r="E10" s="325">
        <v>2</v>
      </c>
      <c r="F10" s="440">
        <f t="shared" si="0"/>
        <v>0.29166666666666669</v>
      </c>
      <c r="G10" s="325">
        <v>654</v>
      </c>
      <c r="H10" s="325">
        <v>1355</v>
      </c>
      <c r="I10" s="325">
        <f t="shared" si="1"/>
        <v>-701</v>
      </c>
    </row>
    <row r="11" spans="1:9" x14ac:dyDescent="0.25">
      <c r="A11" s="323" t="s">
        <v>3</v>
      </c>
      <c r="B11" s="324">
        <f>86+salpremseasontotalsplayed</f>
        <v>100</v>
      </c>
      <c r="C11" s="324">
        <f>17+salpremseasontotalswon</f>
        <v>23</v>
      </c>
      <c r="D11" s="324">
        <f>69+salpremseasontotalslost</f>
        <v>76</v>
      </c>
      <c r="E11" s="324">
        <f>0+salpremseasontotalsdrawn</f>
        <v>1</v>
      </c>
      <c r="F11" s="439">
        <f t="shared" si="0"/>
        <v>0.23499999999999999</v>
      </c>
      <c r="G11" s="324">
        <f>1391+salpremseasontotalsptsscored</f>
        <v>1760</v>
      </c>
      <c r="H11" s="324">
        <f>2927+salpremseasontotalsptsagainst</f>
        <v>3285</v>
      </c>
      <c r="I11" s="324">
        <f t="shared" si="1"/>
        <v>-1525</v>
      </c>
    </row>
    <row r="12" spans="1:9" x14ac:dyDescent="0.25">
      <c r="A12" s="323" t="s">
        <v>1</v>
      </c>
      <c r="B12" s="324">
        <f>146+bthpremseasontotalsplayed</f>
        <v>159</v>
      </c>
      <c r="C12" s="324">
        <f>124+bthpremseasontotalswoncorrect</f>
        <v>135</v>
      </c>
      <c r="D12" s="324">
        <f>20+bthpremseasontotalslost</f>
        <v>22</v>
      </c>
      <c r="E12" s="324">
        <f>2+bthpremseasontotalsdrawn</f>
        <v>2</v>
      </c>
      <c r="F12" s="439">
        <f t="shared" si="0"/>
        <v>0.85534591194968557</v>
      </c>
      <c r="G12" s="324">
        <f>5639+bthpremseasontotalsptsscored</f>
        <v>6184</v>
      </c>
      <c r="H12" s="324">
        <f>2377+bthpremseasontotalsptsagainst</f>
        <v>2583</v>
      </c>
      <c r="I12" s="324">
        <f t="shared" si="1"/>
        <v>3601</v>
      </c>
    </row>
    <row r="13" spans="1:9" x14ac:dyDescent="0.25">
      <c r="A13" s="323" t="s">
        <v>100</v>
      </c>
      <c r="B13" s="324">
        <f>32+tfwpremseasontotalsplayed</f>
        <v>45</v>
      </c>
      <c r="C13" s="324">
        <f>10+tfwpremseasontotalswon</f>
        <v>15</v>
      </c>
      <c r="D13" s="324">
        <f>22+tfwpremseasontotalslost</f>
        <v>28</v>
      </c>
      <c r="E13" s="324">
        <f>0+tfwpremseasontotalsdrawn</f>
        <v>2</v>
      </c>
      <c r="F13" s="439">
        <f t="shared" si="0"/>
        <v>0.35555555555555557</v>
      </c>
      <c r="G13" s="324">
        <f>850+tfwpremseasontotalsptsscored</f>
        <v>1248</v>
      </c>
      <c r="H13" s="324">
        <f>1039+tfwpremseasontotalsptsagainst</f>
        <v>1401</v>
      </c>
      <c r="I13" s="324">
        <f t="shared" si="1"/>
        <v>-153</v>
      </c>
    </row>
    <row r="14" spans="1:9" x14ac:dyDescent="0.25">
      <c r="A14" s="326" t="s">
        <v>46</v>
      </c>
      <c r="B14" s="327">
        <v>104</v>
      </c>
      <c r="C14" s="327">
        <v>54</v>
      </c>
      <c r="D14" s="327">
        <v>49</v>
      </c>
      <c r="E14" s="327">
        <v>1</v>
      </c>
      <c r="F14" s="441">
        <f t="shared" si="0"/>
        <v>0.52403846153846156</v>
      </c>
      <c r="G14" s="327">
        <v>2661</v>
      </c>
      <c r="H14" s="327">
        <v>2489</v>
      </c>
      <c r="I14" s="327">
        <f t="shared" si="1"/>
        <v>172</v>
      </c>
    </row>
    <row r="15" spans="1:9" x14ac:dyDescent="0.25">
      <c r="A15" s="326" t="s">
        <v>190</v>
      </c>
      <c r="B15" s="327">
        <v>48</v>
      </c>
      <c r="C15" s="327">
        <v>6</v>
      </c>
      <c r="D15" s="327">
        <v>40</v>
      </c>
      <c r="E15" s="327">
        <v>2</v>
      </c>
      <c r="F15" s="441">
        <f t="shared" si="0"/>
        <v>0.14583333333333334</v>
      </c>
      <c r="G15" s="327">
        <v>525</v>
      </c>
      <c r="H15" s="327">
        <v>1858</v>
      </c>
      <c r="I15" s="327">
        <f t="shared" si="1"/>
        <v>-1333</v>
      </c>
    </row>
    <row r="16" spans="1:9" x14ac:dyDescent="0.25">
      <c r="A16" s="326" t="s">
        <v>2</v>
      </c>
      <c r="B16" s="327">
        <v>100</v>
      </c>
      <c r="C16" s="327">
        <v>22</v>
      </c>
      <c r="D16" s="327">
        <v>76</v>
      </c>
      <c r="E16" s="327">
        <v>2</v>
      </c>
      <c r="F16" s="441">
        <f t="shared" si="0"/>
        <v>0.23</v>
      </c>
      <c r="G16" s="327">
        <v>1731</v>
      </c>
      <c r="H16" s="327">
        <v>3628</v>
      </c>
      <c r="I16" s="327">
        <f t="shared" si="1"/>
        <v>-1897</v>
      </c>
    </row>
    <row r="17" spans="1:9" x14ac:dyDescent="0.25">
      <c r="A17" s="328" t="s">
        <v>72</v>
      </c>
      <c r="B17" s="329">
        <f>SUM(B3:B16)/2</f>
        <v>733</v>
      </c>
      <c r="C17" s="329">
        <f>SUM(C3:C16)/2</f>
        <v>358</v>
      </c>
      <c r="D17" s="329">
        <f>SUM(D3:D16)/2</f>
        <v>358</v>
      </c>
      <c r="E17" s="329">
        <f>SUM(E3:E16)/2</f>
        <v>17</v>
      </c>
      <c r="F17" s="442" t="s">
        <v>42</v>
      </c>
      <c r="G17" s="319">
        <f>SUM(G3:G16)</f>
        <v>38743</v>
      </c>
      <c r="H17" s="319">
        <f>SUM(H3:H16)</f>
        <v>38743</v>
      </c>
      <c r="I17" s="330">
        <f t="shared" si="1"/>
        <v>0</v>
      </c>
    </row>
    <row r="18" spans="1:9" x14ac:dyDescent="0.25">
      <c r="A18" s="333" t="s">
        <v>664</v>
      </c>
      <c r="B18" s="320"/>
      <c r="C18" s="320"/>
      <c r="D18" s="320"/>
      <c r="E18" s="320"/>
      <c r="F18" s="320"/>
      <c r="G18" s="320"/>
      <c r="H18" s="320"/>
      <c r="I18" s="320"/>
    </row>
    <row r="19" spans="1:9" ht="16.3" x14ac:dyDescent="0.3">
      <c r="A19" s="475" t="s">
        <v>47</v>
      </c>
    </row>
  </sheetData>
  <sortState xmlns:xlrd2="http://schemas.microsoft.com/office/spreadsheetml/2017/richdata2" ref="A3:I16">
    <sortCondition ref="A3:A16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U35"/>
  <sheetViews>
    <sheetView zoomScale="90" zoomScaleNormal="90" workbookViewId="0">
      <pane ySplit="2" topLeftCell="A3" activePane="bottomLeft" state="frozen"/>
      <selection pane="bottomLeft" activeCell="S21" sqref="S21"/>
    </sheetView>
  </sheetViews>
  <sheetFormatPr defaultColWidth="8.75" defaultRowHeight="14.3" x14ac:dyDescent="0.25"/>
  <cols>
    <col min="1" max="1" width="9.75" customWidth="1"/>
    <col min="2" max="2" width="5.75" customWidth="1"/>
    <col min="3" max="3" width="13.625" customWidth="1"/>
    <col min="4" max="18" width="3.75" customWidth="1"/>
    <col min="19" max="19" width="5.75" customWidth="1"/>
    <col min="20" max="20" width="16" bestFit="1" customWidth="1"/>
    <col min="21" max="21" width="14.625" bestFit="1" customWidth="1"/>
    <col min="22" max="22" width="18.5" bestFit="1" customWidth="1"/>
    <col min="23" max="23" width="15.625" bestFit="1" customWidth="1"/>
    <col min="24" max="39" width="3.75" customWidth="1"/>
    <col min="40" max="40" width="1.625" customWidth="1"/>
    <col min="41" max="41" width="12.75" bestFit="1" customWidth="1"/>
  </cols>
  <sheetData>
    <row r="1" spans="1:125" ht="14.95" customHeight="1" thickBot="1" x14ac:dyDescent="0.3">
      <c r="A1" s="749" t="s">
        <v>233</v>
      </c>
      <c r="B1" s="750"/>
      <c r="C1" s="750"/>
      <c r="D1" s="751"/>
      <c r="E1" s="752" t="s">
        <v>36</v>
      </c>
      <c r="F1" s="753"/>
      <c r="G1" s="754"/>
      <c r="H1" s="752" t="s">
        <v>35</v>
      </c>
      <c r="I1" s="754"/>
      <c r="J1" s="747" t="s">
        <v>16</v>
      </c>
      <c r="K1" s="755"/>
      <c r="L1" s="755"/>
      <c r="M1" s="748"/>
      <c r="N1" s="747" t="s">
        <v>17</v>
      </c>
      <c r="O1" s="748"/>
      <c r="P1" s="747" t="s">
        <v>38</v>
      </c>
      <c r="Q1" s="755"/>
      <c r="R1" s="748"/>
      <c r="S1" s="58" t="s">
        <v>18</v>
      </c>
      <c r="T1" s="21" t="s">
        <v>19</v>
      </c>
      <c r="U1" s="20" t="s">
        <v>20</v>
      </c>
      <c r="V1" s="20" t="s">
        <v>44</v>
      </c>
      <c r="W1" s="22" t="s">
        <v>45</v>
      </c>
      <c r="X1" s="758" t="s">
        <v>30</v>
      </c>
      <c r="Y1" s="757"/>
      <c r="Z1" s="757"/>
      <c r="AA1" s="759"/>
      <c r="AB1" s="760" t="s">
        <v>31</v>
      </c>
      <c r="AC1" s="696"/>
      <c r="AD1" s="696"/>
      <c r="AE1" s="697"/>
      <c r="AF1" s="756" t="s">
        <v>32</v>
      </c>
      <c r="AG1" s="757"/>
      <c r="AH1" s="757"/>
      <c r="AI1" s="759"/>
      <c r="AJ1" s="756" t="s">
        <v>48</v>
      </c>
      <c r="AK1" s="757"/>
      <c r="AL1" s="757"/>
      <c r="AM1" s="757"/>
      <c r="AN1" s="33"/>
      <c r="AO1" s="445" t="s">
        <v>199</v>
      </c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</row>
    <row r="2" spans="1:125" ht="14.95" customHeight="1" thickBot="1" x14ac:dyDescent="0.3">
      <c r="A2" s="23" t="s">
        <v>28</v>
      </c>
      <c r="B2" s="24" t="s">
        <v>27</v>
      </c>
      <c r="C2" s="25" t="s">
        <v>26</v>
      </c>
      <c r="D2" s="25" t="s">
        <v>37</v>
      </c>
      <c r="E2" s="26" t="s">
        <v>25</v>
      </c>
      <c r="F2" s="26" t="s">
        <v>11</v>
      </c>
      <c r="G2" s="26" t="s">
        <v>12</v>
      </c>
      <c r="H2" s="27" t="s">
        <v>33</v>
      </c>
      <c r="I2" s="28" t="s">
        <v>34</v>
      </c>
      <c r="J2" s="28" t="s">
        <v>21</v>
      </c>
      <c r="K2" s="28" t="s">
        <v>22</v>
      </c>
      <c r="L2" s="28" t="s">
        <v>9</v>
      </c>
      <c r="M2" s="28" t="s">
        <v>23</v>
      </c>
      <c r="N2" s="28" t="s">
        <v>24</v>
      </c>
      <c r="O2" s="28" t="s">
        <v>25</v>
      </c>
      <c r="P2" s="28" t="s">
        <v>33</v>
      </c>
      <c r="Q2" s="28" t="s">
        <v>34</v>
      </c>
      <c r="R2" s="28" t="s">
        <v>21</v>
      </c>
      <c r="S2" s="30"/>
      <c r="T2" s="31"/>
      <c r="U2" s="29"/>
      <c r="V2" s="29"/>
      <c r="W2" s="32"/>
      <c r="X2" s="61" t="s">
        <v>7</v>
      </c>
      <c r="Y2" s="61" t="s">
        <v>8</v>
      </c>
      <c r="Z2" s="61" t="s">
        <v>9</v>
      </c>
      <c r="AA2" s="61" t="s">
        <v>10</v>
      </c>
      <c r="AB2" s="61" t="s">
        <v>7</v>
      </c>
      <c r="AC2" s="61" t="s">
        <v>8</v>
      </c>
      <c r="AD2" s="61" t="s">
        <v>9</v>
      </c>
      <c r="AE2" s="61" t="s">
        <v>10</v>
      </c>
      <c r="AF2" s="61" t="s">
        <v>7</v>
      </c>
      <c r="AG2" s="61" t="s">
        <v>8</v>
      </c>
      <c r="AH2" s="61" t="s">
        <v>9</v>
      </c>
      <c r="AI2" s="61" t="s">
        <v>10</v>
      </c>
      <c r="AJ2" s="61" t="s">
        <v>7</v>
      </c>
      <c r="AK2" s="61" t="s">
        <v>8</v>
      </c>
      <c r="AL2" s="61" t="s">
        <v>9</v>
      </c>
      <c r="AM2" s="61" t="s">
        <v>10</v>
      </c>
      <c r="AN2" s="33"/>
      <c r="AO2" s="319" t="s">
        <v>197</v>
      </c>
      <c r="AP2" s="1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</row>
    <row r="3" spans="1:125" s="37" customFormat="1" ht="14.95" customHeight="1" thickBot="1" x14ac:dyDescent="0.35">
      <c r="A3" s="611" t="s">
        <v>270</v>
      </c>
      <c r="B3" s="541" t="s">
        <v>260</v>
      </c>
      <c r="C3" s="541" t="s">
        <v>0</v>
      </c>
      <c r="D3" s="542" t="s">
        <v>12</v>
      </c>
      <c r="E3" s="542" t="s">
        <v>10</v>
      </c>
      <c r="F3" s="602">
        <v>29</v>
      </c>
      <c r="G3" s="542">
        <v>61</v>
      </c>
      <c r="H3" s="602">
        <v>1</v>
      </c>
      <c r="I3" s="602">
        <v>0</v>
      </c>
      <c r="J3" s="602">
        <v>5</v>
      </c>
      <c r="K3" s="602">
        <v>2</v>
      </c>
      <c r="L3" s="602">
        <v>0</v>
      </c>
      <c r="M3" s="602">
        <v>0</v>
      </c>
      <c r="N3" s="602">
        <v>1</v>
      </c>
      <c r="O3" s="602">
        <v>0</v>
      </c>
      <c r="P3" s="602">
        <v>1</v>
      </c>
      <c r="Q3" s="602">
        <v>0</v>
      </c>
      <c r="R3" s="602">
        <v>9</v>
      </c>
      <c r="S3" s="633" t="s">
        <v>402</v>
      </c>
      <c r="T3" s="544"/>
      <c r="U3" s="545" t="s">
        <v>50</v>
      </c>
      <c r="V3" s="545"/>
      <c r="W3" s="546"/>
      <c r="X3" s="615">
        <v>1</v>
      </c>
      <c r="Y3" s="615">
        <v>0</v>
      </c>
      <c r="Z3" s="615">
        <v>0</v>
      </c>
      <c r="AA3" s="616">
        <v>1</v>
      </c>
      <c r="AB3" s="615">
        <v>0</v>
      </c>
      <c r="AC3" s="615">
        <v>0</v>
      </c>
      <c r="AD3" s="615">
        <v>0</v>
      </c>
      <c r="AE3" s="616">
        <v>0</v>
      </c>
      <c r="AF3" s="615">
        <v>1</v>
      </c>
      <c r="AG3" s="615">
        <v>0</v>
      </c>
      <c r="AH3" s="615">
        <v>0</v>
      </c>
      <c r="AI3" s="617">
        <v>1</v>
      </c>
      <c r="AJ3" s="615">
        <v>0</v>
      </c>
      <c r="AK3" s="615">
        <v>0</v>
      </c>
      <c r="AL3" s="615">
        <v>0</v>
      </c>
      <c r="AM3" s="617">
        <v>0</v>
      </c>
      <c r="AN3" s="33"/>
      <c r="AO3" s="435" t="s">
        <v>64</v>
      </c>
      <c r="AP3" s="436">
        <f>ExeterPWRhistplayed</f>
        <v>105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</row>
    <row r="4" spans="1:125" s="35" customFormat="1" ht="14.95" customHeight="1" thickBot="1" x14ac:dyDescent="0.35">
      <c r="A4" s="550" t="s">
        <v>273</v>
      </c>
      <c r="B4" s="541" t="s">
        <v>260</v>
      </c>
      <c r="C4" s="541" t="s">
        <v>63</v>
      </c>
      <c r="D4" s="542" t="s">
        <v>155</v>
      </c>
      <c r="E4" s="542" t="s">
        <v>8</v>
      </c>
      <c r="F4" s="602">
        <v>36</v>
      </c>
      <c r="G4" s="542">
        <v>33</v>
      </c>
      <c r="H4" s="602">
        <v>1</v>
      </c>
      <c r="I4" s="602">
        <v>0</v>
      </c>
      <c r="J4" s="602">
        <v>6</v>
      </c>
      <c r="K4" s="602">
        <v>3</v>
      </c>
      <c r="L4" s="602">
        <v>0</v>
      </c>
      <c r="M4" s="602">
        <v>0</v>
      </c>
      <c r="N4" s="602">
        <v>1</v>
      </c>
      <c r="O4" s="602">
        <v>0</v>
      </c>
      <c r="P4" s="602">
        <v>1</v>
      </c>
      <c r="Q4" s="602">
        <v>1</v>
      </c>
      <c r="R4" s="602">
        <v>5</v>
      </c>
      <c r="S4" s="543" t="s">
        <v>403</v>
      </c>
      <c r="T4" s="544" t="s">
        <v>378</v>
      </c>
      <c r="U4" s="545" t="s">
        <v>50</v>
      </c>
      <c r="V4" s="545" t="s">
        <v>379</v>
      </c>
      <c r="W4" s="546" t="s">
        <v>380</v>
      </c>
      <c r="X4" s="615">
        <v>1</v>
      </c>
      <c r="Y4" s="615">
        <v>1</v>
      </c>
      <c r="Z4" s="615">
        <v>0</v>
      </c>
      <c r="AA4" s="616">
        <v>0</v>
      </c>
      <c r="AB4" s="615">
        <v>0</v>
      </c>
      <c r="AC4" s="615">
        <v>0</v>
      </c>
      <c r="AD4" s="615">
        <v>0</v>
      </c>
      <c r="AE4" s="616">
        <v>0</v>
      </c>
      <c r="AF4" s="615">
        <v>1</v>
      </c>
      <c r="AG4" s="615">
        <v>1</v>
      </c>
      <c r="AH4" s="615">
        <v>0</v>
      </c>
      <c r="AI4" s="617">
        <v>0</v>
      </c>
      <c r="AJ4" s="615">
        <v>0</v>
      </c>
      <c r="AK4" s="615">
        <v>0</v>
      </c>
      <c r="AL4" s="615">
        <v>0</v>
      </c>
      <c r="AM4" s="617">
        <v>0</v>
      </c>
      <c r="AN4" s="33"/>
      <c r="AO4" s="373" t="s">
        <v>65</v>
      </c>
      <c r="AP4" s="437">
        <f>ExeterPWRhistwon</f>
        <v>67</v>
      </c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</row>
    <row r="5" spans="1:125" s="37" customFormat="1" ht="14.95" customHeight="1" thickBot="1" x14ac:dyDescent="0.35">
      <c r="A5" s="553" t="s">
        <v>405</v>
      </c>
      <c r="B5" s="530" t="s">
        <v>260</v>
      </c>
      <c r="C5" s="530" t="s">
        <v>100</v>
      </c>
      <c r="D5" s="531" t="s">
        <v>153</v>
      </c>
      <c r="E5" s="531" t="s">
        <v>8</v>
      </c>
      <c r="F5" s="601">
        <v>19</v>
      </c>
      <c r="G5" s="531">
        <v>5</v>
      </c>
      <c r="H5" s="601">
        <v>0</v>
      </c>
      <c r="I5" s="601">
        <v>0</v>
      </c>
      <c r="J5" s="601">
        <v>3</v>
      </c>
      <c r="K5" s="601">
        <v>2</v>
      </c>
      <c r="L5" s="601">
        <v>0</v>
      </c>
      <c r="M5" s="601">
        <v>0</v>
      </c>
      <c r="N5" s="601">
        <v>0</v>
      </c>
      <c r="O5" s="601">
        <v>0</v>
      </c>
      <c r="P5" s="601">
        <v>0</v>
      </c>
      <c r="Q5" s="601">
        <v>0</v>
      </c>
      <c r="R5" s="601">
        <v>1</v>
      </c>
      <c r="S5" s="539" t="s">
        <v>406</v>
      </c>
      <c r="T5" s="532" t="s">
        <v>378</v>
      </c>
      <c r="U5" s="533" t="s">
        <v>50</v>
      </c>
      <c r="V5" s="533" t="s">
        <v>326</v>
      </c>
      <c r="W5" s="534" t="s">
        <v>290</v>
      </c>
      <c r="X5" s="618">
        <v>1</v>
      </c>
      <c r="Y5" s="618">
        <v>1</v>
      </c>
      <c r="Z5" s="618">
        <v>0</v>
      </c>
      <c r="AA5" s="619">
        <v>0</v>
      </c>
      <c r="AB5" s="618">
        <v>1</v>
      </c>
      <c r="AC5" s="618">
        <v>1</v>
      </c>
      <c r="AD5" s="618">
        <v>0</v>
      </c>
      <c r="AE5" s="619">
        <v>0</v>
      </c>
      <c r="AF5" s="618">
        <v>0</v>
      </c>
      <c r="AG5" s="618">
        <v>0</v>
      </c>
      <c r="AH5" s="618">
        <v>0</v>
      </c>
      <c r="AI5" s="620">
        <v>0</v>
      </c>
      <c r="AJ5" s="618">
        <v>0</v>
      </c>
      <c r="AK5" s="618">
        <v>0</v>
      </c>
      <c r="AL5" s="618">
        <v>0</v>
      </c>
      <c r="AM5" s="620">
        <v>0</v>
      </c>
      <c r="AN5" s="33"/>
      <c r="AO5" s="373" t="s">
        <v>192</v>
      </c>
      <c r="AP5" s="437">
        <f>ExeterPWRhistdrawn</f>
        <v>5</v>
      </c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</row>
    <row r="6" spans="1:125" ht="14.95" customHeight="1" thickBot="1" x14ac:dyDescent="0.3">
      <c r="A6" s="550" t="s">
        <v>264</v>
      </c>
      <c r="B6" s="541" t="s">
        <v>265</v>
      </c>
      <c r="C6" s="541" t="s">
        <v>1</v>
      </c>
      <c r="D6" s="542" t="s">
        <v>12</v>
      </c>
      <c r="E6" s="542" t="s">
        <v>10</v>
      </c>
      <c r="F6" s="602">
        <v>5</v>
      </c>
      <c r="G6" s="542">
        <v>39</v>
      </c>
      <c r="H6" s="602" t="s">
        <v>42</v>
      </c>
      <c r="I6" s="602" t="s">
        <v>42</v>
      </c>
      <c r="J6" s="602">
        <v>1</v>
      </c>
      <c r="K6" s="602">
        <v>0</v>
      </c>
      <c r="L6" s="602">
        <v>0</v>
      </c>
      <c r="M6" s="602">
        <v>0</v>
      </c>
      <c r="N6" s="602">
        <v>1</v>
      </c>
      <c r="O6" s="602">
        <v>0</v>
      </c>
      <c r="P6" s="602" t="s">
        <v>42</v>
      </c>
      <c r="Q6" s="602" t="s">
        <v>42</v>
      </c>
      <c r="R6" s="602">
        <v>7</v>
      </c>
      <c r="S6" s="557" t="s">
        <v>407</v>
      </c>
      <c r="T6" s="544" t="s">
        <v>328</v>
      </c>
      <c r="U6" s="545" t="s">
        <v>50</v>
      </c>
      <c r="V6" s="545" t="s">
        <v>444</v>
      </c>
      <c r="W6" s="546" t="s">
        <v>290</v>
      </c>
      <c r="X6" s="615">
        <v>1</v>
      </c>
      <c r="Y6" s="615">
        <v>0</v>
      </c>
      <c r="Z6" s="615">
        <v>0</v>
      </c>
      <c r="AA6" s="616">
        <v>1</v>
      </c>
      <c r="AB6" s="615">
        <v>0</v>
      </c>
      <c r="AC6" s="615">
        <v>0</v>
      </c>
      <c r="AD6" s="615">
        <v>0</v>
      </c>
      <c r="AE6" s="616">
        <v>0</v>
      </c>
      <c r="AF6" s="615">
        <v>1</v>
      </c>
      <c r="AG6" s="615">
        <v>0</v>
      </c>
      <c r="AH6" s="615">
        <v>0</v>
      </c>
      <c r="AI6" s="617">
        <v>1</v>
      </c>
      <c r="AJ6" s="615">
        <v>0</v>
      </c>
      <c r="AK6" s="615">
        <v>0</v>
      </c>
      <c r="AL6" s="615">
        <v>0</v>
      </c>
      <c r="AM6" s="617">
        <v>0</v>
      </c>
      <c r="AN6" s="33"/>
      <c r="AO6" s="373" t="s">
        <v>66</v>
      </c>
      <c r="AP6" s="437">
        <f>ExeterPWRhistlost</f>
        <v>33</v>
      </c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</row>
    <row r="7" spans="1:125" ht="14.95" customHeight="1" thickBot="1" x14ac:dyDescent="0.35">
      <c r="A7" s="550" t="s">
        <v>267</v>
      </c>
      <c r="B7" s="541" t="s">
        <v>408</v>
      </c>
      <c r="C7" s="541" t="s">
        <v>49</v>
      </c>
      <c r="D7" s="542" t="s">
        <v>12</v>
      </c>
      <c r="E7" s="542" t="s">
        <v>8</v>
      </c>
      <c r="F7" s="602">
        <v>40</v>
      </c>
      <c r="G7" s="542">
        <v>12</v>
      </c>
      <c r="H7" s="602" t="s">
        <v>42</v>
      </c>
      <c r="I7" s="602" t="s">
        <v>42</v>
      </c>
      <c r="J7" s="602">
        <v>6</v>
      </c>
      <c r="K7" s="602">
        <v>5</v>
      </c>
      <c r="L7" s="602">
        <v>0</v>
      </c>
      <c r="M7" s="602">
        <v>0</v>
      </c>
      <c r="N7" s="602">
        <v>0</v>
      </c>
      <c r="O7" s="602">
        <v>0</v>
      </c>
      <c r="P7" s="602" t="s">
        <v>42</v>
      </c>
      <c r="Q7" s="602" t="s">
        <v>42</v>
      </c>
      <c r="R7" s="602">
        <v>2</v>
      </c>
      <c r="S7" s="543" t="s">
        <v>409</v>
      </c>
      <c r="T7" s="544" t="s">
        <v>287</v>
      </c>
      <c r="U7" s="545" t="s">
        <v>50</v>
      </c>
      <c r="V7" s="545" t="s">
        <v>431</v>
      </c>
      <c r="W7" s="546" t="s">
        <v>410</v>
      </c>
      <c r="X7" s="615">
        <v>1</v>
      </c>
      <c r="Y7" s="615">
        <v>1</v>
      </c>
      <c r="Z7" s="615">
        <v>0</v>
      </c>
      <c r="AA7" s="616">
        <v>0</v>
      </c>
      <c r="AB7" s="615">
        <v>0</v>
      </c>
      <c r="AC7" s="615">
        <v>0</v>
      </c>
      <c r="AD7" s="615">
        <v>0</v>
      </c>
      <c r="AE7" s="616">
        <v>0</v>
      </c>
      <c r="AF7" s="615">
        <v>1</v>
      </c>
      <c r="AG7" s="615">
        <v>1</v>
      </c>
      <c r="AH7" s="615">
        <v>0</v>
      </c>
      <c r="AI7" s="617">
        <v>0</v>
      </c>
      <c r="AJ7" s="615">
        <v>0</v>
      </c>
      <c r="AK7" s="615">
        <v>0</v>
      </c>
      <c r="AL7" s="615">
        <v>0</v>
      </c>
      <c r="AM7" s="617">
        <v>0</v>
      </c>
      <c r="AN7" s="33"/>
      <c r="AO7" s="373" t="s">
        <v>193</v>
      </c>
      <c r="AP7" s="437">
        <f>ExeterPWRhistptsfor</f>
        <v>3453</v>
      </c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</row>
    <row r="8" spans="1:125" s="35" customFormat="1" ht="14.95" customHeight="1" thickBot="1" x14ac:dyDescent="0.35">
      <c r="A8" s="631" t="s">
        <v>240</v>
      </c>
      <c r="B8" s="147" t="s">
        <v>73</v>
      </c>
      <c r="C8" s="147" t="s">
        <v>100</v>
      </c>
      <c r="D8" s="148" t="s">
        <v>12</v>
      </c>
      <c r="E8" s="148" t="s">
        <v>8</v>
      </c>
      <c r="F8" s="453">
        <v>24</v>
      </c>
      <c r="G8" s="148">
        <v>12</v>
      </c>
      <c r="H8" s="453">
        <v>1</v>
      </c>
      <c r="I8" s="453">
        <v>0</v>
      </c>
      <c r="J8" s="453">
        <v>4</v>
      </c>
      <c r="K8" s="453">
        <v>2</v>
      </c>
      <c r="L8" s="453">
        <v>0</v>
      </c>
      <c r="M8" s="453">
        <v>0</v>
      </c>
      <c r="N8" s="453">
        <v>0</v>
      </c>
      <c r="O8" s="453">
        <v>0</v>
      </c>
      <c r="P8" s="453">
        <v>0</v>
      </c>
      <c r="Q8" s="453">
        <v>0</v>
      </c>
      <c r="R8" s="453">
        <v>2</v>
      </c>
      <c r="S8" s="346" t="s">
        <v>306</v>
      </c>
      <c r="T8" s="149" t="s">
        <v>289</v>
      </c>
      <c r="U8" s="150" t="s">
        <v>50</v>
      </c>
      <c r="V8" s="164" t="s">
        <v>293</v>
      </c>
      <c r="W8" s="151" t="s">
        <v>286</v>
      </c>
      <c r="X8" s="624">
        <v>1</v>
      </c>
      <c r="Y8" s="624">
        <v>1</v>
      </c>
      <c r="Z8" s="624">
        <v>0</v>
      </c>
      <c r="AA8" s="625">
        <v>0</v>
      </c>
      <c r="AB8" s="624">
        <v>0</v>
      </c>
      <c r="AC8" s="624">
        <v>0</v>
      </c>
      <c r="AD8" s="624">
        <v>0</v>
      </c>
      <c r="AE8" s="625">
        <v>0</v>
      </c>
      <c r="AF8" s="624">
        <v>1</v>
      </c>
      <c r="AG8" s="624">
        <v>1</v>
      </c>
      <c r="AH8" s="624">
        <v>0</v>
      </c>
      <c r="AI8" s="626">
        <v>0</v>
      </c>
      <c r="AJ8" s="624">
        <v>0</v>
      </c>
      <c r="AK8" s="624">
        <v>0</v>
      </c>
      <c r="AL8" s="624">
        <v>0</v>
      </c>
      <c r="AM8" s="626">
        <v>0</v>
      </c>
      <c r="AN8" s="33"/>
      <c r="AO8" s="373" t="s">
        <v>194</v>
      </c>
      <c r="AP8" s="437">
        <f>ExeterPWRhistptsaga</f>
        <v>1988</v>
      </c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</row>
    <row r="9" spans="1:125" s="37" customFormat="1" ht="14.95" customHeight="1" thickBot="1" x14ac:dyDescent="0.3">
      <c r="A9" s="632" t="s">
        <v>167</v>
      </c>
      <c r="B9" s="152" t="s">
        <v>73</v>
      </c>
      <c r="C9" s="152" t="s">
        <v>63</v>
      </c>
      <c r="D9" s="153" t="s">
        <v>153</v>
      </c>
      <c r="E9" s="153" t="s">
        <v>10</v>
      </c>
      <c r="F9" s="454">
        <v>31</v>
      </c>
      <c r="G9" s="153">
        <v>47</v>
      </c>
      <c r="H9" s="454">
        <v>1</v>
      </c>
      <c r="I9" s="454">
        <v>0</v>
      </c>
      <c r="J9" s="454">
        <v>5</v>
      </c>
      <c r="K9" s="454">
        <v>3</v>
      </c>
      <c r="L9" s="454">
        <v>0</v>
      </c>
      <c r="M9" s="454">
        <v>0</v>
      </c>
      <c r="N9" s="454">
        <v>1</v>
      </c>
      <c r="O9" s="454">
        <v>0</v>
      </c>
      <c r="P9" s="454">
        <v>1</v>
      </c>
      <c r="Q9" s="454">
        <v>0</v>
      </c>
      <c r="R9" s="454">
        <v>7</v>
      </c>
      <c r="S9" s="357" t="s">
        <v>337</v>
      </c>
      <c r="T9" s="338" t="s">
        <v>294</v>
      </c>
      <c r="U9" s="339" t="s">
        <v>50</v>
      </c>
      <c r="V9" s="340" t="s">
        <v>338</v>
      </c>
      <c r="W9" s="340" t="s">
        <v>283</v>
      </c>
      <c r="X9" s="621">
        <v>1</v>
      </c>
      <c r="Y9" s="621">
        <v>0</v>
      </c>
      <c r="Z9" s="621">
        <v>0</v>
      </c>
      <c r="AA9" s="622">
        <v>1</v>
      </c>
      <c r="AB9" s="621">
        <v>1</v>
      </c>
      <c r="AC9" s="621">
        <v>0</v>
      </c>
      <c r="AD9" s="621">
        <v>0</v>
      </c>
      <c r="AE9" s="622">
        <v>1</v>
      </c>
      <c r="AF9" s="621">
        <v>0</v>
      </c>
      <c r="AG9" s="621">
        <v>0</v>
      </c>
      <c r="AH9" s="621">
        <v>0</v>
      </c>
      <c r="AI9" s="623">
        <v>0</v>
      </c>
      <c r="AJ9" s="621">
        <v>0</v>
      </c>
      <c r="AK9" s="621">
        <v>0</v>
      </c>
      <c r="AL9" s="621">
        <v>0</v>
      </c>
      <c r="AM9" s="623">
        <v>0</v>
      </c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</row>
    <row r="10" spans="1:125" ht="14.95" customHeight="1" thickBot="1" x14ac:dyDescent="0.3">
      <c r="A10" s="631" t="s">
        <v>158</v>
      </c>
      <c r="B10" s="147" t="s">
        <v>73</v>
      </c>
      <c r="C10" s="147" t="s">
        <v>540</v>
      </c>
      <c r="D10" s="148" t="s">
        <v>12</v>
      </c>
      <c r="E10" s="148" t="s">
        <v>9</v>
      </c>
      <c r="F10" s="453">
        <v>33</v>
      </c>
      <c r="G10" s="148">
        <v>33</v>
      </c>
      <c r="H10" s="453">
        <v>1</v>
      </c>
      <c r="I10" s="453">
        <v>0</v>
      </c>
      <c r="J10" s="453">
        <v>5</v>
      </c>
      <c r="K10" s="453">
        <v>4</v>
      </c>
      <c r="L10" s="453">
        <v>0</v>
      </c>
      <c r="M10" s="453">
        <v>0</v>
      </c>
      <c r="N10" s="453">
        <v>0</v>
      </c>
      <c r="O10" s="453">
        <v>0</v>
      </c>
      <c r="P10" s="453">
        <v>1</v>
      </c>
      <c r="Q10" s="453">
        <v>0</v>
      </c>
      <c r="R10" s="453">
        <v>5</v>
      </c>
      <c r="S10" s="630" t="s">
        <v>401</v>
      </c>
      <c r="T10" s="149" t="s">
        <v>296</v>
      </c>
      <c r="U10" s="150" t="s">
        <v>50</v>
      </c>
      <c r="V10" s="164" t="s">
        <v>326</v>
      </c>
      <c r="W10" s="151" t="s">
        <v>384</v>
      </c>
      <c r="X10" s="624">
        <v>1</v>
      </c>
      <c r="Y10" s="624">
        <v>0</v>
      </c>
      <c r="Z10" s="624">
        <v>1</v>
      </c>
      <c r="AA10" s="625">
        <v>0</v>
      </c>
      <c r="AB10" s="624">
        <v>0</v>
      </c>
      <c r="AC10" s="624">
        <v>0</v>
      </c>
      <c r="AD10" s="624">
        <v>0</v>
      </c>
      <c r="AE10" s="625">
        <v>0</v>
      </c>
      <c r="AF10" s="624">
        <v>1</v>
      </c>
      <c r="AG10" s="624">
        <v>0</v>
      </c>
      <c r="AH10" s="624">
        <v>1</v>
      </c>
      <c r="AI10" s="626">
        <v>0</v>
      </c>
      <c r="AJ10" s="624">
        <v>0</v>
      </c>
      <c r="AK10" s="624">
        <v>0</v>
      </c>
      <c r="AL10" s="624">
        <v>0</v>
      </c>
      <c r="AM10" s="626">
        <v>0</v>
      </c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</row>
    <row r="11" spans="1:125" ht="14.95" customHeight="1" thickBot="1" x14ac:dyDescent="0.35">
      <c r="A11" s="154" t="s">
        <v>252</v>
      </c>
      <c r="B11" s="155" t="s">
        <v>73</v>
      </c>
      <c r="C11" s="152" t="s">
        <v>0</v>
      </c>
      <c r="D11" s="153" t="s">
        <v>153</v>
      </c>
      <c r="E11" s="153" t="s">
        <v>8</v>
      </c>
      <c r="F11" s="454">
        <v>26</v>
      </c>
      <c r="G11" s="153">
        <v>19</v>
      </c>
      <c r="H11" s="454">
        <v>1</v>
      </c>
      <c r="I11" s="454">
        <v>0</v>
      </c>
      <c r="J11" s="454">
        <v>4</v>
      </c>
      <c r="K11" s="454">
        <v>3</v>
      </c>
      <c r="L11" s="454">
        <v>0</v>
      </c>
      <c r="M11" s="454">
        <v>0</v>
      </c>
      <c r="N11" s="454">
        <v>0</v>
      </c>
      <c r="O11" s="454">
        <v>0</v>
      </c>
      <c r="P11" s="454">
        <v>0</v>
      </c>
      <c r="Q11" s="454">
        <v>1</v>
      </c>
      <c r="R11" s="454">
        <v>3</v>
      </c>
      <c r="S11" s="347" t="s">
        <v>306</v>
      </c>
      <c r="T11" s="338" t="s">
        <v>296</v>
      </c>
      <c r="U11" s="339" t="s">
        <v>289</v>
      </c>
      <c r="V11" s="340" t="s">
        <v>291</v>
      </c>
      <c r="W11" s="158" t="s">
        <v>284</v>
      </c>
      <c r="X11" s="158">
        <v>1</v>
      </c>
      <c r="Y11" s="158">
        <v>1</v>
      </c>
      <c r="Z11" s="158">
        <v>0</v>
      </c>
      <c r="AA11" s="159">
        <v>0</v>
      </c>
      <c r="AB11" s="158">
        <v>1</v>
      </c>
      <c r="AC11" s="158">
        <v>1</v>
      </c>
      <c r="AD11" s="158">
        <v>0</v>
      </c>
      <c r="AE11" s="159">
        <v>0</v>
      </c>
      <c r="AF11" s="158">
        <v>0</v>
      </c>
      <c r="AG11" s="158">
        <v>0</v>
      </c>
      <c r="AH11" s="158">
        <v>0</v>
      </c>
      <c r="AI11" s="160">
        <v>0</v>
      </c>
      <c r="AJ11" s="158">
        <v>0</v>
      </c>
      <c r="AK11" s="158">
        <v>0</v>
      </c>
      <c r="AL11" s="158">
        <v>0</v>
      </c>
      <c r="AM11" s="160">
        <v>0</v>
      </c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</row>
    <row r="12" spans="1:125" s="35" customFormat="1" ht="14.95" customHeight="1" thickBot="1" x14ac:dyDescent="0.35">
      <c r="A12" s="334" t="s">
        <v>243</v>
      </c>
      <c r="B12" s="162" t="s">
        <v>73</v>
      </c>
      <c r="C12" s="335" t="s">
        <v>3</v>
      </c>
      <c r="D12" s="336" t="s">
        <v>12</v>
      </c>
      <c r="E12" s="336" t="s">
        <v>9</v>
      </c>
      <c r="F12" s="455">
        <v>26</v>
      </c>
      <c r="G12" s="336">
        <v>26</v>
      </c>
      <c r="H12" s="455">
        <v>1</v>
      </c>
      <c r="I12" s="455">
        <v>0</v>
      </c>
      <c r="J12" s="455">
        <v>4</v>
      </c>
      <c r="K12" s="455">
        <v>3</v>
      </c>
      <c r="L12" s="455">
        <v>0</v>
      </c>
      <c r="M12" s="455">
        <v>0</v>
      </c>
      <c r="N12" s="455">
        <v>0</v>
      </c>
      <c r="O12" s="455">
        <v>0</v>
      </c>
      <c r="P12" s="455">
        <v>1</v>
      </c>
      <c r="Q12" s="455">
        <v>0</v>
      </c>
      <c r="R12" s="455">
        <v>4</v>
      </c>
      <c r="S12" s="176" t="s">
        <v>474</v>
      </c>
      <c r="T12" s="172" t="s">
        <v>468</v>
      </c>
      <c r="U12" s="164" t="s">
        <v>50</v>
      </c>
      <c r="V12" s="164" t="s">
        <v>449</v>
      </c>
      <c r="W12" s="164" t="s">
        <v>295</v>
      </c>
      <c r="X12" s="164">
        <v>1</v>
      </c>
      <c r="Y12" s="164">
        <v>0</v>
      </c>
      <c r="Z12" s="164">
        <v>1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4">
        <v>1</v>
      </c>
      <c r="AG12" s="164">
        <v>0</v>
      </c>
      <c r="AH12" s="164">
        <v>1</v>
      </c>
      <c r="AI12" s="172">
        <v>0</v>
      </c>
      <c r="AJ12" s="164">
        <v>0</v>
      </c>
      <c r="AK12" s="164">
        <v>0</v>
      </c>
      <c r="AL12" s="164">
        <v>0</v>
      </c>
      <c r="AM12" s="172">
        <v>0</v>
      </c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</row>
    <row r="13" spans="1:125" ht="14.95" customHeight="1" thickBot="1" x14ac:dyDescent="0.35">
      <c r="A13" s="154" t="s">
        <v>163</v>
      </c>
      <c r="B13" s="155" t="s">
        <v>73</v>
      </c>
      <c r="C13" s="152" t="s">
        <v>49</v>
      </c>
      <c r="D13" s="153" t="s">
        <v>153</v>
      </c>
      <c r="E13" s="153" t="s">
        <v>8</v>
      </c>
      <c r="F13" s="454">
        <v>41</v>
      </c>
      <c r="G13" s="153">
        <v>10</v>
      </c>
      <c r="H13" s="454">
        <v>1</v>
      </c>
      <c r="I13" s="454">
        <v>0</v>
      </c>
      <c r="J13" s="454">
        <v>7</v>
      </c>
      <c r="K13" s="454">
        <v>3</v>
      </c>
      <c r="L13" s="454">
        <v>0</v>
      </c>
      <c r="M13" s="454">
        <v>0</v>
      </c>
      <c r="N13" s="454">
        <v>0</v>
      </c>
      <c r="O13" s="454">
        <v>0</v>
      </c>
      <c r="P13" s="454">
        <v>0</v>
      </c>
      <c r="Q13" s="454">
        <v>0</v>
      </c>
      <c r="R13" s="454">
        <v>2</v>
      </c>
      <c r="S13" s="156" t="s">
        <v>493</v>
      </c>
      <c r="T13" s="157" t="s">
        <v>324</v>
      </c>
      <c r="U13" s="158" t="s">
        <v>50</v>
      </c>
      <c r="V13" s="158" t="s">
        <v>127</v>
      </c>
      <c r="W13" s="160" t="s">
        <v>290</v>
      </c>
      <c r="X13" s="158">
        <v>1</v>
      </c>
      <c r="Y13" s="158">
        <v>1</v>
      </c>
      <c r="Z13" s="158">
        <v>0</v>
      </c>
      <c r="AA13" s="158">
        <v>0</v>
      </c>
      <c r="AB13" s="158">
        <v>1</v>
      </c>
      <c r="AC13" s="158">
        <v>1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7">
        <v>0</v>
      </c>
      <c r="AJ13" s="158">
        <v>0</v>
      </c>
      <c r="AK13" s="158">
        <v>0</v>
      </c>
      <c r="AL13" s="158">
        <v>0</v>
      </c>
      <c r="AM13" s="157">
        <v>0</v>
      </c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</row>
    <row r="14" spans="1:125" s="35" customFormat="1" ht="14.95" customHeight="1" thickBot="1" x14ac:dyDescent="0.35">
      <c r="A14" s="154" t="s">
        <v>244</v>
      </c>
      <c r="B14" s="155" t="s">
        <v>73</v>
      </c>
      <c r="C14" s="152" t="s">
        <v>1</v>
      </c>
      <c r="D14" s="153" t="s">
        <v>153</v>
      </c>
      <c r="E14" s="153" t="s">
        <v>10</v>
      </c>
      <c r="F14" s="454">
        <v>14</v>
      </c>
      <c r="G14" s="153">
        <v>24</v>
      </c>
      <c r="H14" s="454">
        <v>0</v>
      </c>
      <c r="I14" s="454">
        <v>0</v>
      </c>
      <c r="J14" s="454">
        <v>2</v>
      </c>
      <c r="K14" s="454">
        <v>2</v>
      </c>
      <c r="L14" s="454">
        <v>0</v>
      </c>
      <c r="M14" s="454">
        <v>0</v>
      </c>
      <c r="N14" s="454">
        <v>0</v>
      </c>
      <c r="O14" s="454">
        <v>0</v>
      </c>
      <c r="P14" s="454">
        <v>1</v>
      </c>
      <c r="Q14" s="454">
        <v>0</v>
      </c>
      <c r="R14" s="454">
        <v>4</v>
      </c>
      <c r="S14" s="348" t="s">
        <v>531</v>
      </c>
      <c r="T14" s="157" t="s">
        <v>522</v>
      </c>
      <c r="U14" s="158" t="s">
        <v>523</v>
      </c>
      <c r="V14" s="158" t="s">
        <v>471</v>
      </c>
      <c r="W14" s="160" t="s">
        <v>296</v>
      </c>
      <c r="X14" s="158">
        <v>1</v>
      </c>
      <c r="Y14" s="158">
        <v>0</v>
      </c>
      <c r="Z14" s="158">
        <v>0</v>
      </c>
      <c r="AA14" s="158">
        <v>1</v>
      </c>
      <c r="AB14" s="158">
        <v>1</v>
      </c>
      <c r="AC14" s="158">
        <v>0</v>
      </c>
      <c r="AD14" s="158">
        <v>0</v>
      </c>
      <c r="AE14" s="158">
        <v>1</v>
      </c>
      <c r="AF14" s="158">
        <v>0</v>
      </c>
      <c r="AG14" s="158">
        <v>0</v>
      </c>
      <c r="AH14" s="158">
        <v>0</v>
      </c>
      <c r="AI14" s="157">
        <v>0</v>
      </c>
      <c r="AJ14" s="158">
        <v>0</v>
      </c>
      <c r="AK14" s="158">
        <v>0</v>
      </c>
      <c r="AL14" s="158">
        <v>0</v>
      </c>
      <c r="AM14" s="157">
        <v>0</v>
      </c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</row>
    <row r="15" spans="1:125" s="35" customFormat="1" ht="14.95" customHeight="1" thickBot="1" x14ac:dyDescent="0.35">
      <c r="A15" s="154" t="s">
        <v>508</v>
      </c>
      <c r="B15" s="155" t="s">
        <v>73</v>
      </c>
      <c r="C15" s="152" t="s">
        <v>70</v>
      </c>
      <c r="D15" s="153" t="s">
        <v>153</v>
      </c>
      <c r="E15" s="153" t="s">
        <v>8</v>
      </c>
      <c r="F15" s="454">
        <v>36</v>
      </c>
      <c r="G15" s="153">
        <v>0</v>
      </c>
      <c r="H15" s="454">
        <v>1</v>
      </c>
      <c r="I15" s="454">
        <v>0</v>
      </c>
      <c r="J15" s="454">
        <v>6</v>
      </c>
      <c r="K15" s="454">
        <v>3</v>
      </c>
      <c r="L15" s="454">
        <v>0</v>
      </c>
      <c r="M15" s="454">
        <v>0</v>
      </c>
      <c r="N15" s="454">
        <v>0</v>
      </c>
      <c r="O15" s="454">
        <v>0</v>
      </c>
      <c r="P15" s="454">
        <v>0</v>
      </c>
      <c r="Q15" s="454">
        <v>0</v>
      </c>
      <c r="R15" s="454">
        <v>0</v>
      </c>
      <c r="S15" s="358" t="s">
        <v>306</v>
      </c>
      <c r="T15" s="342" t="s">
        <v>559</v>
      </c>
      <c r="U15" s="343" t="s">
        <v>50</v>
      </c>
      <c r="V15" s="158" t="s">
        <v>560</v>
      </c>
      <c r="W15" s="160" t="s">
        <v>287</v>
      </c>
      <c r="X15" s="158">
        <v>1</v>
      </c>
      <c r="Y15" s="158">
        <v>1</v>
      </c>
      <c r="Z15" s="158">
        <v>0</v>
      </c>
      <c r="AA15" s="158">
        <v>0</v>
      </c>
      <c r="AB15" s="158">
        <v>1</v>
      </c>
      <c r="AC15" s="158">
        <v>1</v>
      </c>
      <c r="AD15" s="158">
        <v>0</v>
      </c>
      <c r="AE15" s="158">
        <v>0</v>
      </c>
      <c r="AF15" s="158">
        <v>0</v>
      </c>
      <c r="AG15" s="158">
        <v>0</v>
      </c>
      <c r="AH15" s="158">
        <v>0</v>
      </c>
      <c r="AI15" s="157">
        <v>0</v>
      </c>
      <c r="AJ15" s="158">
        <v>0</v>
      </c>
      <c r="AK15" s="158">
        <v>0</v>
      </c>
      <c r="AL15" s="158">
        <v>0</v>
      </c>
      <c r="AM15" s="157">
        <v>0</v>
      </c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</row>
    <row r="16" spans="1:125" ht="14.95" customHeight="1" thickBot="1" x14ac:dyDescent="0.35">
      <c r="A16" s="161" t="s">
        <v>510</v>
      </c>
      <c r="B16" s="162" t="s">
        <v>73</v>
      </c>
      <c r="C16" s="147" t="s">
        <v>0</v>
      </c>
      <c r="D16" s="148" t="s">
        <v>12</v>
      </c>
      <c r="E16" s="148" t="s">
        <v>9</v>
      </c>
      <c r="F16" s="453">
        <v>38</v>
      </c>
      <c r="G16" s="148">
        <v>38</v>
      </c>
      <c r="H16" s="453">
        <v>1</v>
      </c>
      <c r="I16" s="453">
        <v>0</v>
      </c>
      <c r="J16" s="453">
        <v>5</v>
      </c>
      <c r="K16" s="453">
        <v>5</v>
      </c>
      <c r="L16" s="453">
        <v>0</v>
      </c>
      <c r="M16" s="453">
        <v>1</v>
      </c>
      <c r="N16" s="453">
        <v>2</v>
      </c>
      <c r="O16" s="453">
        <v>0</v>
      </c>
      <c r="P16" s="453">
        <v>1</v>
      </c>
      <c r="Q16" s="453">
        <v>0</v>
      </c>
      <c r="R16" s="453">
        <v>6</v>
      </c>
      <c r="S16" s="179" t="s">
        <v>577</v>
      </c>
      <c r="T16" s="172" t="s">
        <v>291</v>
      </c>
      <c r="U16" s="164" t="s">
        <v>575</v>
      </c>
      <c r="V16" s="164" t="s">
        <v>294</v>
      </c>
      <c r="W16" s="166" t="s">
        <v>348</v>
      </c>
      <c r="X16" s="164">
        <v>1</v>
      </c>
      <c r="Y16" s="164">
        <v>0</v>
      </c>
      <c r="Z16" s="164">
        <v>1</v>
      </c>
      <c r="AA16" s="164">
        <v>0</v>
      </c>
      <c r="AB16" s="164">
        <v>0</v>
      </c>
      <c r="AC16" s="164">
        <v>0</v>
      </c>
      <c r="AD16" s="164">
        <v>0</v>
      </c>
      <c r="AE16" s="164">
        <v>0</v>
      </c>
      <c r="AF16" s="164">
        <v>1</v>
      </c>
      <c r="AG16" s="164">
        <v>0</v>
      </c>
      <c r="AH16" s="164">
        <v>1</v>
      </c>
      <c r="AI16" s="172">
        <v>0</v>
      </c>
      <c r="AJ16" s="164">
        <v>0</v>
      </c>
      <c r="AK16" s="164">
        <v>0</v>
      </c>
      <c r="AL16" s="164">
        <v>0</v>
      </c>
      <c r="AM16" s="172">
        <v>0</v>
      </c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</row>
    <row r="17" spans="1:125" ht="14.95" customHeight="1" thickBot="1" x14ac:dyDescent="0.35">
      <c r="A17" s="154" t="s">
        <v>512</v>
      </c>
      <c r="B17" s="155" t="s">
        <v>73</v>
      </c>
      <c r="C17" s="152" t="s">
        <v>540</v>
      </c>
      <c r="D17" s="153" t="s">
        <v>153</v>
      </c>
      <c r="E17" s="153" t="s">
        <v>8</v>
      </c>
      <c r="F17" s="454">
        <v>26</v>
      </c>
      <c r="G17" s="153">
        <v>5</v>
      </c>
      <c r="H17" s="454">
        <v>1</v>
      </c>
      <c r="I17" s="454">
        <v>0</v>
      </c>
      <c r="J17" s="454">
        <v>4</v>
      </c>
      <c r="K17" s="454">
        <v>3</v>
      </c>
      <c r="L17" s="454">
        <v>0</v>
      </c>
      <c r="M17" s="454">
        <v>0</v>
      </c>
      <c r="N17" s="454">
        <v>0</v>
      </c>
      <c r="O17" s="454">
        <v>0</v>
      </c>
      <c r="P17" s="454">
        <v>0</v>
      </c>
      <c r="Q17" s="454">
        <v>0</v>
      </c>
      <c r="R17" s="454">
        <v>1</v>
      </c>
      <c r="S17" s="156" t="s">
        <v>601</v>
      </c>
      <c r="T17" s="157" t="s">
        <v>326</v>
      </c>
      <c r="U17" s="158" t="s">
        <v>50</v>
      </c>
      <c r="V17" s="158" t="s">
        <v>287</v>
      </c>
      <c r="W17" s="160" t="s">
        <v>380</v>
      </c>
      <c r="X17" s="158">
        <v>1</v>
      </c>
      <c r="Y17" s="158">
        <v>1</v>
      </c>
      <c r="Z17" s="158">
        <v>0</v>
      </c>
      <c r="AA17" s="158">
        <v>0</v>
      </c>
      <c r="AB17" s="158">
        <v>1</v>
      </c>
      <c r="AC17" s="158">
        <v>1</v>
      </c>
      <c r="AD17" s="158">
        <v>0</v>
      </c>
      <c r="AE17" s="158">
        <v>0</v>
      </c>
      <c r="AF17" s="158">
        <v>0</v>
      </c>
      <c r="AG17" s="158">
        <v>0</v>
      </c>
      <c r="AH17" s="158">
        <v>0</v>
      </c>
      <c r="AI17" s="157">
        <v>0</v>
      </c>
      <c r="AJ17" s="158">
        <v>0</v>
      </c>
      <c r="AK17" s="158">
        <v>0</v>
      </c>
      <c r="AL17" s="158">
        <v>0</v>
      </c>
      <c r="AM17" s="157">
        <v>0</v>
      </c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</row>
    <row r="18" spans="1:125" s="37" customFormat="1" ht="14.95" customHeight="1" thickBot="1" x14ac:dyDescent="0.3">
      <c r="A18" s="161" t="s">
        <v>513</v>
      </c>
      <c r="B18" s="162" t="s">
        <v>73</v>
      </c>
      <c r="C18" s="147" t="s">
        <v>1</v>
      </c>
      <c r="D18" s="148" t="s">
        <v>12</v>
      </c>
      <c r="E18" s="148" t="s">
        <v>10</v>
      </c>
      <c r="F18" s="453">
        <v>7</v>
      </c>
      <c r="G18" s="148">
        <v>45</v>
      </c>
      <c r="H18" s="453">
        <v>0</v>
      </c>
      <c r="I18" s="453">
        <v>0</v>
      </c>
      <c r="J18" s="453">
        <v>1</v>
      </c>
      <c r="K18" s="453">
        <v>1</v>
      </c>
      <c r="L18" s="453">
        <v>0</v>
      </c>
      <c r="M18" s="453">
        <v>0</v>
      </c>
      <c r="N18" s="453">
        <v>1</v>
      </c>
      <c r="O18" s="453">
        <v>0</v>
      </c>
      <c r="P18" s="453">
        <v>1</v>
      </c>
      <c r="Q18" s="453">
        <v>0</v>
      </c>
      <c r="R18" s="453">
        <v>7</v>
      </c>
      <c r="S18" s="171" t="s">
        <v>617</v>
      </c>
      <c r="T18" s="172" t="s">
        <v>285</v>
      </c>
      <c r="U18" s="164" t="s">
        <v>50</v>
      </c>
      <c r="V18" s="164" t="s">
        <v>283</v>
      </c>
      <c r="W18" s="166" t="s">
        <v>286</v>
      </c>
      <c r="X18" s="164">
        <v>1</v>
      </c>
      <c r="Y18" s="164">
        <v>0</v>
      </c>
      <c r="Z18" s="164">
        <v>0</v>
      </c>
      <c r="AA18" s="164">
        <v>1</v>
      </c>
      <c r="AB18" s="164">
        <v>0</v>
      </c>
      <c r="AC18" s="164">
        <v>0</v>
      </c>
      <c r="AD18" s="164">
        <v>0</v>
      </c>
      <c r="AE18" s="164">
        <v>0</v>
      </c>
      <c r="AF18" s="164">
        <v>1</v>
      </c>
      <c r="AG18" s="164">
        <v>0</v>
      </c>
      <c r="AH18" s="164">
        <v>0</v>
      </c>
      <c r="AI18" s="172">
        <v>1</v>
      </c>
      <c r="AJ18" s="164">
        <v>0</v>
      </c>
      <c r="AK18" s="164">
        <v>0</v>
      </c>
      <c r="AL18" s="164">
        <v>0</v>
      </c>
      <c r="AM18" s="172">
        <v>0</v>
      </c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</row>
    <row r="19" spans="1:125" s="37" customFormat="1" ht="14.95" customHeight="1" thickBot="1" x14ac:dyDescent="0.3">
      <c r="A19" s="161" t="s">
        <v>515</v>
      </c>
      <c r="B19" s="162" t="s">
        <v>73</v>
      </c>
      <c r="C19" s="147" t="s">
        <v>63</v>
      </c>
      <c r="D19" s="148" t="s">
        <v>12</v>
      </c>
      <c r="E19" s="148" t="s">
        <v>10</v>
      </c>
      <c r="F19" s="453">
        <v>20</v>
      </c>
      <c r="G19" s="148">
        <v>38</v>
      </c>
      <c r="H19" s="453">
        <v>1</v>
      </c>
      <c r="I19" s="453">
        <v>0</v>
      </c>
      <c r="J19" s="453">
        <v>4</v>
      </c>
      <c r="K19" s="453">
        <v>0</v>
      </c>
      <c r="L19" s="453">
        <v>0</v>
      </c>
      <c r="M19" s="453">
        <v>0</v>
      </c>
      <c r="N19" s="453">
        <v>0</v>
      </c>
      <c r="O19" s="453">
        <v>0</v>
      </c>
      <c r="P19" s="453">
        <v>1</v>
      </c>
      <c r="Q19" s="453">
        <v>0</v>
      </c>
      <c r="R19" s="453">
        <v>6</v>
      </c>
      <c r="S19" s="171" t="s">
        <v>626</v>
      </c>
      <c r="T19" s="172" t="s">
        <v>378</v>
      </c>
      <c r="U19" s="164" t="s">
        <v>50</v>
      </c>
      <c r="V19" s="164" t="s">
        <v>297</v>
      </c>
      <c r="W19" s="166" t="s">
        <v>379</v>
      </c>
      <c r="X19" s="164">
        <v>1</v>
      </c>
      <c r="Y19" s="164">
        <v>0</v>
      </c>
      <c r="Z19" s="164">
        <v>0</v>
      </c>
      <c r="AA19" s="164">
        <v>1</v>
      </c>
      <c r="AB19" s="164">
        <v>0</v>
      </c>
      <c r="AC19" s="164">
        <v>0</v>
      </c>
      <c r="AD19" s="164">
        <v>0</v>
      </c>
      <c r="AE19" s="164">
        <v>0</v>
      </c>
      <c r="AF19" s="164">
        <v>1</v>
      </c>
      <c r="AG19" s="164">
        <v>0</v>
      </c>
      <c r="AH19" s="164">
        <v>0</v>
      </c>
      <c r="AI19" s="172">
        <v>1</v>
      </c>
      <c r="AJ19" s="164">
        <v>0</v>
      </c>
      <c r="AK19" s="164">
        <v>0</v>
      </c>
      <c r="AL19" s="164">
        <v>0</v>
      </c>
      <c r="AM19" s="172">
        <v>0</v>
      </c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</row>
    <row r="20" spans="1:125" s="37" customFormat="1" ht="14.95" customHeight="1" thickBot="1" x14ac:dyDescent="0.35">
      <c r="A20" s="177" t="s">
        <v>518</v>
      </c>
      <c r="B20" s="155" t="s">
        <v>73</v>
      </c>
      <c r="C20" s="152" t="s">
        <v>100</v>
      </c>
      <c r="D20" s="153" t="s">
        <v>153</v>
      </c>
      <c r="E20" s="153" t="s">
        <v>8</v>
      </c>
      <c r="F20" s="454">
        <v>47</v>
      </c>
      <c r="G20" s="153">
        <v>14</v>
      </c>
      <c r="H20" s="454">
        <v>1</v>
      </c>
      <c r="I20" s="454">
        <v>0</v>
      </c>
      <c r="J20" s="454">
        <v>7</v>
      </c>
      <c r="K20" s="454">
        <v>6</v>
      </c>
      <c r="L20" s="454">
        <v>0</v>
      </c>
      <c r="M20" s="454">
        <v>0</v>
      </c>
      <c r="N20" s="454">
        <v>0</v>
      </c>
      <c r="O20" s="454">
        <v>0</v>
      </c>
      <c r="P20" s="454">
        <v>0</v>
      </c>
      <c r="Q20" s="454">
        <v>0</v>
      </c>
      <c r="R20" s="454">
        <v>2</v>
      </c>
      <c r="S20" s="156" t="s">
        <v>572</v>
      </c>
      <c r="T20" s="157" t="s">
        <v>346</v>
      </c>
      <c r="U20" s="158" t="s">
        <v>50</v>
      </c>
      <c r="V20" s="158" t="s">
        <v>573</v>
      </c>
      <c r="W20" s="160" t="s">
        <v>286</v>
      </c>
      <c r="X20" s="158">
        <v>1</v>
      </c>
      <c r="Y20" s="158">
        <v>1</v>
      </c>
      <c r="Z20" s="158">
        <v>0</v>
      </c>
      <c r="AA20" s="158">
        <v>0</v>
      </c>
      <c r="AB20" s="158">
        <v>1</v>
      </c>
      <c r="AC20" s="158">
        <v>1</v>
      </c>
      <c r="AD20" s="158">
        <v>0</v>
      </c>
      <c r="AE20" s="158">
        <v>0</v>
      </c>
      <c r="AF20" s="158">
        <v>0</v>
      </c>
      <c r="AG20" s="158">
        <v>0</v>
      </c>
      <c r="AH20" s="158">
        <v>0</v>
      </c>
      <c r="AI20" s="157">
        <v>0</v>
      </c>
      <c r="AJ20" s="158">
        <v>0</v>
      </c>
      <c r="AK20" s="158">
        <v>0</v>
      </c>
      <c r="AL20" s="158">
        <v>0</v>
      </c>
      <c r="AM20" s="157">
        <v>0</v>
      </c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</row>
    <row r="21" spans="1:125" s="37" customFormat="1" ht="14.95" customHeight="1" thickBot="1" x14ac:dyDescent="0.35">
      <c r="A21" s="178" t="s">
        <v>127</v>
      </c>
      <c r="B21" s="162" t="s">
        <v>73</v>
      </c>
      <c r="C21" s="147" t="s">
        <v>70</v>
      </c>
      <c r="D21" s="148" t="s">
        <v>12</v>
      </c>
      <c r="E21" s="148" t="s">
        <v>8</v>
      </c>
      <c r="F21" s="453">
        <v>43</v>
      </c>
      <c r="G21" s="148">
        <v>0</v>
      </c>
      <c r="H21" s="453">
        <v>1</v>
      </c>
      <c r="I21" s="453">
        <v>0</v>
      </c>
      <c r="J21" s="453">
        <v>7</v>
      </c>
      <c r="K21" s="453">
        <v>4</v>
      </c>
      <c r="L21" s="453">
        <v>0</v>
      </c>
      <c r="M21" s="453">
        <v>0</v>
      </c>
      <c r="N21" s="453">
        <v>0</v>
      </c>
      <c r="O21" s="453">
        <v>0</v>
      </c>
      <c r="P21" s="453">
        <v>0</v>
      </c>
      <c r="Q21" s="453">
        <v>0</v>
      </c>
      <c r="R21" s="453">
        <v>0</v>
      </c>
      <c r="S21" s="176" t="s">
        <v>666</v>
      </c>
      <c r="T21" s="172" t="s">
        <v>326</v>
      </c>
      <c r="U21" s="164" t="s">
        <v>50</v>
      </c>
      <c r="V21" s="164" t="s">
        <v>295</v>
      </c>
      <c r="W21" s="166" t="s">
        <v>655</v>
      </c>
      <c r="X21" s="164">
        <v>1</v>
      </c>
      <c r="Y21" s="164">
        <v>1</v>
      </c>
      <c r="Z21" s="164">
        <v>0</v>
      </c>
      <c r="AA21" s="164">
        <v>0</v>
      </c>
      <c r="AB21" s="164">
        <v>0</v>
      </c>
      <c r="AC21" s="164">
        <v>0</v>
      </c>
      <c r="AD21" s="164">
        <v>0</v>
      </c>
      <c r="AE21" s="164">
        <v>0</v>
      </c>
      <c r="AF21" s="164">
        <v>1</v>
      </c>
      <c r="AG21" s="164">
        <v>1</v>
      </c>
      <c r="AH21" s="164">
        <v>0</v>
      </c>
      <c r="AI21" s="172">
        <v>0</v>
      </c>
      <c r="AJ21" s="164">
        <v>0</v>
      </c>
      <c r="AK21" s="164">
        <v>0</v>
      </c>
      <c r="AL21" s="164">
        <v>0</v>
      </c>
      <c r="AM21" s="172">
        <v>0</v>
      </c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</row>
    <row r="22" spans="1:125" s="37" customFormat="1" ht="14.95" customHeight="1" thickBot="1" x14ac:dyDescent="0.35">
      <c r="A22" s="178" t="s">
        <v>127</v>
      </c>
      <c r="B22" s="162" t="s">
        <v>73</v>
      </c>
      <c r="C22" s="147" t="s">
        <v>49</v>
      </c>
      <c r="D22" s="148" t="s">
        <v>12</v>
      </c>
      <c r="E22" s="148"/>
      <c r="F22" s="453"/>
      <c r="G22" s="148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179"/>
      <c r="T22" s="172"/>
      <c r="U22" s="164"/>
      <c r="V22" s="164"/>
      <c r="W22" s="166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72"/>
      <c r="AJ22" s="164"/>
      <c r="AK22" s="164"/>
      <c r="AL22" s="164"/>
      <c r="AM22" s="172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</row>
    <row r="23" spans="1:125" s="35" customFormat="1" ht="14.95" customHeight="1" thickBot="1" x14ac:dyDescent="0.3">
      <c r="A23" s="177" t="s">
        <v>248</v>
      </c>
      <c r="B23" s="155" t="s">
        <v>73</v>
      </c>
      <c r="C23" s="152" t="s">
        <v>3</v>
      </c>
      <c r="D23" s="153" t="s">
        <v>153</v>
      </c>
      <c r="E23" s="153"/>
      <c r="F23" s="454"/>
      <c r="G23" s="153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175"/>
      <c r="T23" s="157"/>
      <c r="U23" s="158"/>
      <c r="V23" s="158"/>
      <c r="W23" s="160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7"/>
      <c r="AJ23" s="158"/>
      <c r="AK23" s="158"/>
      <c r="AL23" s="158"/>
      <c r="AM23" s="157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</row>
    <row r="24" spans="1:125" s="35" customFormat="1" ht="14.95" customHeight="1" thickBot="1" x14ac:dyDescent="0.35">
      <c r="A24" s="502" t="s">
        <v>249</v>
      </c>
      <c r="B24" s="503" t="s">
        <v>128</v>
      </c>
      <c r="C24" s="504"/>
      <c r="D24" s="505"/>
      <c r="E24" s="505"/>
      <c r="F24" s="506"/>
      <c r="G24" s="505"/>
      <c r="H24" s="506"/>
      <c r="I24" s="506"/>
      <c r="J24" s="506"/>
      <c r="K24" s="506"/>
      <c r="L24" s="506"/>
      <c r="M24" s="506"/>
      <c r="N24" s="506"/>
      <c r="O24" s="506"/>
      <c r="P24" s="506"/>
      <c r="Q24" s="506"/>
      <c r="R24" s="506"/>
      <c r="S24" s="507"/>
      <c r="T24" s="508"/>
      <c r="U24" s="509"/>
      <c r="V24" s="509"/>
      <c r="W24" s="510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09"/>
      <c r="AI24" s="508"/>
      <c r="AJ24" s="509"/>
      <c r="AK24" s="509"/>
      <c r="AL24" s="509"/>
      <c r="AM24" s="508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</row>
    <row r="25" spans="1:125" s="35" customFormat="1" ht="14.95" customHeight="1" thickBot="1" x14ac:dyDescent="0.3">
      <c r="A25" s="502" t="s">
        <v>250</v>
      </c>
      <c r="B25" s="503" t="s">
        <v>247</v>
      </c>
      <c r="C25" s="504"/>
      <c r="D25" s="505"/>
      <c r="E25" s="505"/>
      <c r="F25" s="506"/>
      <c r="G25" s="505"/>
      <c r="H25" s="506"/>
      <c r="I25" s="506"/>
      <c r="J25" s="506"/>
      <c r="K25" s="506"/>
      <c r="L25" s="506"/>
      <c r="M25" s="506"/>
      <c r="N25" s="506"/>
      <c r="O25" s="506"/>
      <c r="P25" s="506"/>
      <c r="Q25" s="506"/>
      <c r="R25" s="506"/>
      <c r="S25" s="511"/>
      <c r="T25" s="508"/>
      <c r="U25" s="509"/>
      <c r="V25" s="509"/>
      <c r="W25" s="510"/>
      <c r="X25" s="509"/>
      <c r="Y25" s="509"/>
      <c r="Z25" s="509"/>
      <c r="AA25" s="509"/>
      <c r="AB25" s="509"/>
      <c r="AC25" s="509"/>
      <c r="AD25" s="509"/>
      <c r="AE25" s="509"/>
      <c r="AF25" s="509"/>
      <c r="AG25" s="509"/>
      <c r="AH25" s="509"/>
      <c r="AI25" s="508"/>
      <c r="AJ25" s="509"/>
      <c r="AK25" s="509"/>
      <c r="AL25" s="509"/>
      <c r="AM25" s="508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</row>
    <row r="26" spans="1:125" ht="15.8" customHeight="1" thickBot="1" x14ac:dyDescent="0.3">
      <c r="A26" s="120"/>
      <c r="B26" s="121"/>
      <c r="C26" s="741" t="s">
        <v>74</v>
      </c>
      <c r="D26" s="742"/>
      <c r="E26" s="743"/>
      <c r="F26" s="122">
        <f t="shared" ref="F26:R26" si="0">SUM(F8:F23)</f>
        <v>412</v>
      </c>
      <c r="G26" s="122">
        <f t="shared" si="0"/>
        <v>311</v>
      </c>
      <c r="H26" s="122">
        <f t="shared" si="0"/>
        <v>12</v>
      </c>
      <c r="I26" s="122">
        <f t="shared" si="0"/>
        <v>0</v>
      </c>
      <c r="J26" s="122">
        <f t="shared" si="0"/>
        <v>65</v>
      </c>
      <c r="K26" s="122">
        <f t="shared" si="0"/>
        <v>42</v>
      </c>
      <c r="L26" s="122">
        <f t="shared" si="0"/>
        <v>0</v>
      </c>
      <c r="M26" s="122">
        <f t="shared" si="0"/>
        <v>1</v>
      </c>
      <c r="N26" s="122">
        <f t="shared" si="0"/>
        <v>4</v>
      </c>
      <c r="O26" s="122">
        <f t="shared" si="0"/>
        <v>0</v>
      </c>
      <c r="P26" s="122">
        <f t="shared" si="0"/>
        <v>7</v>
      </c>
      <c r="Q26" s="122">
        <f t="shared" si="0"/>
        <v>1</v>
      </c>
      <c r="R26" s="122">
        <f t="shared" si="0"/>
        <v>49</v>
      </c>
      <c r="S26" s="123"/>
      <c r="T26" s="123"/>
      <c r="U26" s="124"/>
      <c r="V26" s="124"/>
      <c r="W26" s="125" t="s">
        <v>74</v>
      </c>
      <c r="X26" s="122">
        <f t="shared" ref="X26:AM26" si="1">SUM(X8:X23)</f>
        <v>14</v>
      </c>
      <c r="Y26" s="122">
        <f t="shared" si="1"/>
        <v>7</v>
      </c>
      <c r="Z26" s="122">
        <f t="shared" si="1"/>
        <v>3</v>
      </c>
      <c r="AA26" s="122">
        <f t="shared" si="1"/>
        <v>4</v>
      </c>
      <c r="AB26" s="126">
        <f t="shared" si="1"/>
        <v>7</v>
      </c>
      <c r="AC26" s="126">
        <f t="shared" si="1"/>
        <v>5</v>
      </c>
      <c r="AD26" s="126">
        <f t="shared" si="1"/>
        <v>0</v>
      </c>
      <c r="AE26" s="126">
        <f t="shared" si="1"/>
        <v>2</v>
      </c>
      <c r="AF26" s="127">
        <f t="shared" si="1"/>
        <v>7</v>
      </c>
      <c r="AG26" s="127">
        <f t="shared" si="1"/>
        <v>2</v>
      </c>
      <c r="AH26" s="127">
        <f t="shared" si="1"/>
        <v>3</v>
      </c>
      <c r="AI26" s="127">
        <f t="shared" si="1"/>
        <v>2</v>
      </c>
      <c r="AJ26" s="122">
        <f t="shared" si="1"/>
        <v>0</v>
      </c>
      <c r="AK26" s="122">
        <f t="shared" si="1"/>
        <v>0</v>
      </c>
      <c r="AL26" s="122">
        <f t="shared" si="1"/>
        <v>0</v>
      </c>
      <c r="AM26" s="122">
        <f t="shared" si="1"/>
        <v>0</v>
      </c>
    </row>
    <row r="27" spans="1:125" ht="15.8" customHeight="1" thickBot="1" x14ac:dyDescent="0.3">
      <c r="A27" s="128"/>
      <c r="B27" s="128"/>
      <c r="C27" s="741" t="s">
        <v>75</v>
      </c>
      <c r="D27" s="742"/>
      <c r="E27" s="743"/>
      <c r="F27" s="122">
        <f>F24+F25</f>
        <v>0</v>
      </c>
      <c r="G27" s="122">
        <f>G24+G25</f>
        <v>0</v>
      </c>
      <c r="H27" s="129" t="s">
        <v>42</v>
      </c>
      <c r="I27" s="129" t="s">
        <v>42</v>
      </c>
      <c r="J27" s="122">
        <f t="shared" ref="J27:O27" si="2">J24+J25</f>
        <v>0</v>
      </c>
      <c r="K27" s="122">
        <f t="shared" si="2"/>
        <v>0</v>
      </c>
      <c r="L27" s="122">
        <f t="shared" si="2"/>
        <v>0</v>
      </c>
      <c r="M27" s="122">
        <f t="shared" si="2"/>
        <v>0</v>
      </c>
      <c r="N27" s="122">
        <f t="shared" si="2"/>
        <v>0</v>
      </c>
      <c r="O27" s="122">
        <f t="shared" si="2"/>
        <v>0</v>
      </c>
      <c r="P27" s="129" t="s">
        <v>42</v>
      </c>
      <c r="Q27" s="129" t="s">
        <v>42</v>
      </c>
      <c r="R27" s="122">
        <f>R24+R25</f>
        <v>0</v>
      </c>
      <c r="S27" s="123"/>
      <c r="T27" s="123"/>
      <c r="U27" s="123"/>
      <c r="V27" s="124"/>
      <c r="W27" s="125" t="s">
        <v>75</v>
      </c>
      <c r="X27" s="122">
        <f t="shared" ref="X27:AM27" si="3">X24+X25</f>
        <v>0</v>
      </c>
      <c r="Y27" s="122">
        <f t="shared" si="3"/>
        <v>0</v>
      </c>
      <c r="Z27" s="122">
        <f t="shared" si="3"/>
        <v>0</v>
      </c>
      <c r="AA27" s="122">
        <f t="shared" si="3"/>
        <v>0</v>
      </c>
      <c r="AB27" s="126">
        <f t="shared" si="3"/>
        <v>0</v>
      </c>
      <c r="AC27" s="126">
        <f t="shared" si="3"/>
        <v>0</v>
      </c>
      <c r="AD27" s="126">
        <f t="shared" si="3"/>
        <v>0</v>
      </c>
      <c r="AE27" s="126">
        <f t="shared" si="3"/>
        <v>0</v>
      </c>
      <c r="AF27" s="130">
        <f t="shared" si="3"/>
        <v>0</v>
      </c>
      <c r="AG27" s="130">
        <f t="shared" si="3"/>
        <v>0</v>
      </c>
      <c r="AH27" s="130">
        <f t="shared" si="3"/>
        <v>0</v>
      </c>
      <c r="AI27" s="130">
        <f t="shared" si="3"/>
        <v>0</v>
      </c>
      <c r="AJ27" s="122">
        <f t="shared" si="3"/>
        <v>0</v>
      </c>
      <c r="AK27" s="122">
        <f t="shared" si="3"/>
        <v>0</v>
      </c>
      <c r="AL27" s="122">
        <f t="shared" si="3"/>
        <v>0</v>
      </c>
      <c r="AM27" s="122">
        <f t="shared" si="3"/>
        <v>0</v>
      </c>
    </row>
    <row r="28" spans="1:125" ht="15.8" customHeight="1" thickBot="1" x14ac:dyDescent="0.3">
      <c r="A28" s="128"/>
      <c r="B28" s="128"/>
      <c r="C28" s="741" t="s">
        <v>76</v>
      </c>
      <c r="D28" s="742"/>
      <c r="E28" s="743"/>
      <c r="F28" s="122">
        <f>SUM(F26+F27)</f>
        <v>412</v>
      </c>
      <c r="G28" s="122">
        <f t="shared" ref="G28:R28" si="4">SUM(G26+G27)</f>
        <v>311</v>
      </c>
      <c r="H28" s="122">
        <f>H26</f>
        <v>12</v>
      </c>
      <c r="I28" s="122">
        <f>I26</f>
        <v>0</v>
      </c>
      <c r="J28" s="122">
        <f t="shared" si="4"/>
        <v>65</v>
      </c>
      <c r="K28" s="122">
        <f t="shared" si="4"/>
        <v>42</v>
      </c>
      <c r="L28" s="122">
        <f t="shared" si="4"/>
        <v>0</v>
      </c>
      <c r="M28" s="122">
        <f t="shared" si="4"/>
        <v>1</v>
      </c>
      <c r="N28" s="122">
        <f t="shared" si="4"/>
        <v>4</v>
      </c>
      <c r="O28" s="122">
        <f t="shared" si="4"/>
        <v>0</v>
      </c>
      <c r="P28" s="122">
        <f t="shared" ref="P28:Q28" si="5">P26</f>
        <v>7</v>
      </c>
      <c r="Q28" s="122">
        <f t="shared" si="5"/>
        <v>1</v>
      </c>
      <c r="R28" s="122">
        <f t="shared" si="4"/>
        <v>49</v>
      </c>
      <c r="S28" s="123"/>
      <c r="T28" s="123"/>
      <c r="U28" s="123"/>
      <c r="V28" s="124"/>
      <c r="W28" s="125" t="s">
        <v>76</v>
      </c>
      <c r="X28" s="122">
        <f t="shared" ref="X28:AM28" si="6">SUM(X26+X27)</f>
        <v>14</v>
      </c>
      <c r="Y28" s="122">
        <f t="shared" si="6"/>
        <v>7</v>
      </c>
      <c r="Z28" s="122">
        <f t="shared" si="6"/>
        <v>3</v>
      </c>
      <c r="AA28" s="122">
        <f t="shared" si="6"/>
        <v>4</v>
      </c>
      <c r="AB28" s="126">
        <f t="shared" si="6"/>
        <v>7</v>
      </c>
      <c r="AC28" s="126">
        <f t="shared" si="6"/>
        <v>5</v>
      </c>
      <c r="AD28" s="126">
        <f t="shared" si="6"/>
        <v>0</v>
      </c>
      <c r="AE28" s="126">
        <f t="shared" si="6"/>
        <v>2</v>
      </c>
      <c r="AF28" s="127">
        <f t="shared" si="6"/>
        <v>7</v>
      </c>
      <c r="AG28" s="127">
        <f t="shared" si="6"/>
        <v>2</v>
      </c>
      <c r="AH28" s="127">
        <f t="shared" si="6"/>
        <v>3</v>
      </c>
      <c r="AI28" s="127">
        <f t="shared" si="6"/>
        <v>2</v>
      </c>
      <c r="AJ28" s="122">
        <f t="shared" si="6"/>
        <v>0</v>
      </c>
      <c r="AK28" s="122">
        <f t="shared" si="6"/>
        <v>0</v>
      </c>
      <c r="AL28" s="122">
        <f t="shared" si="6"/>
        <v>0</v>
      </c>
      <c r="AM28" s="122">
        <f t="shared" si="6"/>
        <v>0</v>
      </c>
    </row>
    <row r="29" spans="1:125" ht="15.8" customHeight="1" thickBot="1" x14ac:dyDescent="0.3">
      <c r="A29" s="34"/>
      <c r="C29" s="726" t="s">
        <v>441</v>
      </c>
      <c r="D29" s="727"/>
      <c r="E29" s="728"/>
      <c r="F29" s="644">
        <f>SUM(F3:F5)</f>
        <v>84</v>
      </c>
      <c r="G29" s="644">
        <f t="shared" ref="G29:R29" si="7">SUM(G3:G5)</f>
        <v>99</v>
      </c>
      <c r="H29" s="644">
        <f t="shared" si="7"/>
        <v>2</v>
      </c>
      <c r="I29" s="644">
        <f t="shared" si="7"/>
        <v>0</v>
      </c>
      <c r="J29" s="644">
        <f t="shared" si="7"/>
        <v>14</v>
      </c>
      <c r="K29" s="644">
        <f t="shared" si="7"/>
        <v>7</v>
      </c>
      <c r="L29" s="644">
        <f t="shared" si="7"/>
        <v>0</v>
      </c>
      <c r="M29" s="644">
        <f t="shared" si="7"/>
        <v>0</v>
      </c>
      <c r="N29" s="644">
        <f t="shared" si="7"/>
        <v>2</v>
      </c>
      <c r="O29" s="644">
        <f t="shared" si="7"/>
        <v>0</v>
      </c>
      <c r="P29" s="644">
        <f t="shared" si="7"/>
        <v>2</v>
      </c>
      <c r="Q29" s="644">
        <f t="shared" si="7"/>
        <v>1</v>
      </c>
      <c r="R29" s="644">
        <f t="shared" si="7"/>
        <v>15</v>
      </c>
      <c r="S29" s="645"/>
      <c r="T29" s="645"/>
      <c r="U29" s="645"/>
      <c r="V29" s="646"/>
      <c r="W29" s="647" t="s">
        <v>441</v>
      </c>
      <c r="X29" s="644">
        <f t="shared" ref="X29:AM29" si="8">SUM(X3:X5)</f>
        <v>3</v>
      </c>
      <c r="Y29" s="644">
        <f t="shared" si="8"/>
        <v>2</v>
      </c>
      <c r="Z29" s="644">
        <f t="shared" si="8"/>
        <v>0</v>
      </c>
      <c r="AA29" s="644">
        <f t="shared" si="8"/>
        <v>1</v>
      </c>
      <c r="AB29" s="648">
        <f t="shared" si="8"/>
        <v>1</v>
      </c>
      <c r="AC29" s="648">
        <f t="shared" si="8"/>
        <v>1</v>
      </c>
      <c r="AD29" s="648">
        <f t="shared" si="8"/>
        <v>0</v>
      </c>
      <c r="AE29" s="648">
        <f t="shared" si="8"/>
        <v>0</v>
      </c>
      <c r="AF29" s="649">
        <f t="shared" si="8"/>
        <v>2</v>
      </c>
      <c r="AG29" s="649">
        <f t="shared" si="8"/>
        <v>1</v>
      </c>
      <c r="AH29" s="649">
        <f t="shared" si="8"/>
        <v>0</v>
      </c>
      <c r="AI29" s="649">
        <f t="shared" si="8"/>
        <v>1</v>
      </c>
      <c r="AJ29" s="644">
        <f t="shared" si="8"/>
        <v>0</v>
      </c>
      <c r="AK29" s="644">
        <f t="shared" si="8"/>
        <v>0</v>
      </c>
      <c r="AL29" s="644">
        <f t="shared" si="8"/>
        <v>0</v>
      </c>
      <c r="AM29" s="644">
        <f t="shared" si="8"/>
        <v>0</v>
      </c>
    </row>
    <row r="30" spans="1:125" ht="14.95" thickBot="1" x14ac:dyDescent="0.3">
      <c r="A30" s="501"/>
      <c r="C30" s="726" t="s">
        <v>442</v>
      </c>
      <c r="D30" s="727"/>
      <c r="E30" s="728"/>
      <c r="F30" s="644">
        <f>SUM(F6:F7)</f>
        <v>45</v>
      </c>
      <c r="G30" s="644">
        <f t="shared" ref="G30:R30" si="9">SUM(G6:G7)</f>
        <v>51</v>
      </c>
      <c r="H30" s="644">
        <f t="shared" si="9"/>
        <v>0</v>
      </c>
      <c r="I30" s="644">
        <f t="shared" si="9"/>
        <v>0</v>
      </c>
      <c r="J30" s="644">
        <f t="shared" si="9"/>
        <v>7</v>
      </c>
      <c r="K30" s="644">
        <f t="shared" si="9"/>
        <v>5</v>
      </c>
      <c r="L30" s="644">
        <f t="shared" si="9"/>
        <v>0</v>
      </c>
      <c r="M30" s="644">
        <f t="shared" si="9"/>
        <v>0</v>
      </c>
      <c r="N30" s="644">
        <f t="shared" si="9"/>
        <v>1</v>
      </c>
      <c r="O30" s="644">
        <f t="shared" si="9"/>
        <v>0</v>
      </c>
      <c r="P30" s="644">
        <f t="shared" si="9"/>
        <v>0</v>
      </c>
      <c r="Q30" s="644">
        <f t="shared" si="9"/>
        <v>0</v>
      </c>
      <c r="R30" s="644">
        <f t="shared" si="9"/>
        <v>9</v>
      </c>
      <c r="S30" s="645"/>
      <c r="T30" s="645"/>
      <c r="U30" s="645"/>
      <c r="V30" s="646"/>
      <c r="W30" s="647" t="s">
        <v>442</v>
      </c>
      <c r="X30" s="644">
        <f t="shared" ref="X30:AM30" si="10">SUM(X6:X7)</f>
        <v>2</v>
      </c>
      <c r="Y30" s="644">
        <f t="shared" si="10"/>
        <v>1</v>
      </c>
      <c r="Z30" s="644">
        <f t="shared" si="10"/>
        <v>0</v>
      </c>
      <c r="AA30" s="644">
        <f t="shared" si="10"/>
        <v>1</v>
      </c>
      <c r="AB30" s="648">
        <f t="shared" si="10"/>
        <v>0</v>
      </c>
      <c r="AC30" s="648">
        <f t="shared" si="10"/>
        <v>0</v>
      </c>
      <c r="AD30" s="648">
        <f t="shared" si="10"/>
        <v>0</v>
      </c>
      <c r="AE30" s="648">
        <f t="shared" si="10"/>
        <v>0</v>
      </c>
      <c r="AF30" s="649">
        <f t="shared" si="10"/>
        <v>2</v>
      </c>
      <c r="AG30" s="649">
        <f t="shared" si="10"/>
        <v>1</v>
      </c>
      <c r="AH30" s="649">
        <f t="shared" si="10"/>
        <v>0</v>
      </c>
      <c r="AI30" s="649">
        <f t="shared" si="10"/>
        <v>1</v>
      </c>
      <c r="AJ30" s="644">
        <f t="shared" si="10"/>
        <v>0</v>
      </c>
      <c r="AK30" s="644">
        <f t="shared" si="10"/>
        <v>0</v>
      </c>
      <c r="AL30" s="644">
        <f t="shared" si="10"/>
        <v>0</v>
      </c>
      <c r="AM30" s="644">
        <f t="shared" si="10"/>
        <v>0</v>
      </c>
    </row>
    <row r="31" spans="1:125" ht="17" thickBot="1" x14ac:dyDescent="0.35">
      <c r="A31" s="475"/>
      <c r="C31" s="726" t="s">
        <v>440</v>
      </c>
      <c r="D31" s="727"/>
      <c r="E31" s="728"/>
      <c r="F31" s="644">
        <f>SUM(F29+F30)</f>
        <v>129</v>
      </c>
      <c r="G31" s="644">
        <f t="shared" ref="G31:R31" si="11">SUM(G29+G30)</f>
        <v>150</v>
      </c>
      <c r="H31" s="644">
        <f t="shared" si="11"/>
        <v>2</v>
      </c>
      <c r="I31" s="644">
        <f t="shared" si="11"/>
        <v>0</v>
      </c>
      <c r="J31" s="644">
        <f t="shared" si="11"/>
        <v>21</v>
      </c>
      <c r="K31" s="644">
        <f t="shared" si="11"/>
        <v>12</v>
      </c>
      <c r="L31" s="644">
        <f t="shared" si="11"/>
        <v>0</v>
      </c>
      <c r="M31" s="644">
        <f t="shared" si="11"/>
        <v>0</v>
      </c>
      <c r="N31" s="644">
        <f t="shared" si="11"/>
        <v>3</v>
      </c>
      <c r="O31" s="644">
        <f t="shared" si="11"/>
        <v>0</v>
      </c>
      <c r="P31" s="644">
        <f t="shared" si="11"/>
        <v>2</v>
      </c>
      <c r="Q31" s="644">
        <f t="shared" si="11"/>
        <v>1</v>
      </c>
      <c r="R31" s="644">
        <f t="shared" si="11"/>
        <v>24</v>
      </c>
      <c r="S31" s="645"/>
      <c r="T31" s="645"/>
      <c r="U31" s="645"/>
      <c r="V31" s="646"/>
      <c r="W31" s="647" t="s">
        <v>440</v>
      </c>
      <c r="X31" s="644">
        <f t="shared" ref="X31:AM31" si="12">SUM(X29+X30)</f>
        <v>5</v>
      </c>
      <c r="Y31" s="644">
        <f t="shared" si="12"/>
        <v>3</v>
      </c>
      <c r="Z31" s="644">
        <f t="shared" si="12"/>
        <v>0</v>
      </c>
      <c r="AA31" s="644">
        <f t="shared" si="12"/>
        <v>2</v>
      </c>
      <c r="AB31" s="648">
        <f t="shared" si="12"/>
        <v>1</v>
      </c>
      <c r="AC31" s="648">
        <f t="shared" si="12"/>
        <v>1</v>
      </c>
      <c r="AD31" s="648">
        <f t="shared" si="12"/>
        <v>0</v>
      </c>
      <c r="AE31" s="648">
        <f t="shared" si="12"/>
        <v>0</v>
      </c>
      <c r="AF31" s="649">
        <f t="shared" si="12"/>
        <v>4</v>
      </c>
      <c r="AG31" s="649">
        <f t="shared" si="12"/>
        <v>2</v>
      </c>
      <c r="AH31" s="649">
        <f t="shared" si="12"/>
        <v>0</v>
      </c>
      <c r="AI31" s="649">
        <f t="shared" si="12"/>
        <v>2</v>
      </c>
      <c r="AJ31" s="644">
        <f t="shared" si="12"/>
        <v>0</v>
      </c>
      <c r="AK31" s="644">
        <f t="shared" si="12"/>
        <v>0</v>
      </c>
      <c r="AL31" s="644">
        <f t="shared" si="12"/>
        <v>0</v>
      </c>
      <c r="AM31" s="644">
        <f t="shared" si="12"/>
        <v>0</v>
      </c>
    </row>
    <row r="32" spans="1:125" ht="14.95" thickBot="1" x14ac:dyDescent="0.3">
      <c r="A32" s="128"/>
      <c r="C32" s="744" t="s">
        <v>29</v>
      </c>
      <c r="D32" s="745"/>
      <c r="E32" s="746"/>
      <c r="F32" s="72">
        <f>SUM(F3:F25)</f>
        <v>541</v>
      </c>
      <c r="G32" s="73">
        <f t="shared" ref="G32:R32" si="13">SUM(G3:G25)</f>
        <v>461</v>
      </c>
      <c r="H32" s="72">
        <f t="shared" si="13"/>
        <v>14</v>
      </c>
      <c r="I32" s="72">
        <f t="shared" si="13"/>
        <v>0</v>
      </c>
      <c r="J32" s="72">
        <f t="shared" si="13"/>
        <v>86</v>
      </c>
      <c r="K32" s="72">
        <f t="shared" si="13"/>
        <v>54</v>
      </c>
      <c r="L32" s="72">
        <f t="shared" si="13"/>
        <v>0</v>
      </c>
      <c r="M32" s="72">
        <f t="shared" si="13"/>
        <v>1</v>
      </c>
      <c r="N32" s="73">
        <f t="shared" si="13"/>
        <v>7</v>
      </c>
      <c r="O32" s="72">
        <f t="shared" si="13"/>
        <v>0</v>
      </c>
      <c r="P32" s="72">
        <f t="shared" si="13"/>
        <v>9</v>
      </c>
      <c r="Q32" s="72">
        <f t="shared" si="13"/>
        <v>2</v>
      </c>
      <c r="R32" s="72">
        <f t="shared" si="13"/>
        <v>73</v>
      </c>
      <c r="W32" s="74" t="s">
        <v>29</v>
      </c>
      <c r="X32" s="72">
        <f t="shared" ref="X32:AM32" si="14">SUM(X3:X25)</f>
        <v>19</v>
      </c>
      <c r="Y32" s="72">
        <f t="shared" si="14"/>
        <v>10</v>
      </c>
      <c r="Z32" s="72">
        <f t="shared" si="14"/>
        <v>3</v>
      </c>
      <c r="AA32" s="72">
        <f t="shared" si="14"/>
        <v>6</v>
      </c>
      <c r="AB32" s="66">
        <f t="shared" si="14"/>
        <v>8</v>
      </c>
      <c r="AC32" s="66">
        <f t="shared" si="14"/>
        <v>6</v>
      </c>
      <c r="AD32" s="66">
        <f t="shared" si="14"/>
        <v>0</v>
      </c>
      <c r="AE32" s="66">
        <f t="shared" si="14"/>
        <v>2</v>
      </c>
      <c r="AF32" s="75">
        <f t="shared" si="14"/>
        <v>11</v>
      </c>
      <c r="AG32" s="75">
        <f t="shared" si="14"/>
        <v>4</v>
      </c>
      <c r="AH32" s="75">
        <f t="shared" si="14"/>
        <v>3</v>
      </c>
      <c r="AI32" s="75">
        <f t="shared" si="14"/>
        <v>4</v>
      </c>
      <c r="AJ32" s="72">
        <f t="shared" si="14"/>
        <v>0</v>
      </c>
      <c r="AK32" s="72">
        <f t="shared" si="14"/>
        <v>0</v>
      </c>
      <c r="AL32" s="72">
        <f t="shared" si="14"/>
        <v>0</v>
      </c>
      <c r="AM32" s="72">
        <f t="shared" si="14"/>
        <v>0</v>
      </c>
    </row>
    <row r="33" spans="1:1" x14ac:dyDescent="0.25">
      <c r="A33" s="634" t="s">
        <v>404</v>
      </c>
    </row>
    <row r="34" spans="1:1" x14ac:dyDescent="0.25">
      <c r="A34" s="501" t="s">
        <v>229</v>
      </c>
    </row>
    <row r="35" spans="1:1" ht="16.3" x14ac:dyDescent="0.3">
      <c r="A35" s="475" t="s">
        <v>47</v>
      </c>
    </row>
  </sheetData>
  <mergeCells count="17">
    <mergeCell ref="AJ1:AM1"/>
    <mergeCell ref="P1:R1"/>
    <mergeCell ref="C27:E27"/>
    <mergeCell ref="X1:AA1"/>
    <mergeCell ref="AB1:AE1"/>
    <mergeCell ref="AF1:AI1"/>
    <mergeCell ref="C32:E32"/>
    <mergeCell ref="C26:E26"/>
    <mergeCell ref="N1:O1"/>
    <mergeCell ref="C28:E28"/>
    <mergeCell ref="A1:D1"/>
    <mergeCell ref="E1:G1"/>
    <mergeCell ref="H1:I1"/>
    <mergeCell ref="J1:M1"/>
    <mergeCell ref="C29:E29"/>
    <mergeCell ref="C30:E30"/>
    <mergeCell ref="C31:E31"/>
  </mergeCells>
  <pageMargins left="0.7" right="0.7" top="0.75" bottom="0.75" header="0.3" footer="0.3"/>
  <pageSetup paperSize="9" orientation="portrait" r:id="rId1"/>
  <ignoredErrors>
    <ignoredError sqref="S9 S6 S19" twoDigitTextYear="1"/>
    <ignoredError sqref="S32:W32 F26:AM28 F29:AM30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41"/>
  <sheetViews>
    <sheetView zoomScale="90" zoomScaleNormal="90" workbookViewId="0">
      <pane ySplit="2" topLeftCell="A3" activePane="bottomLeft" state="frozen"/>
      <selection activeCell="L9" sqref="L9"/>
      <selection pane="bottomLeft" activeCell="S18" sqref="S18"/>
    </sheetView>
  </sheetViews>
  <sheetFormatPr defaultColWidth="8.75" defaultRowHeight="14.3" x14ac:dyDescent="0.25"/>
  <cols>
    <col min="1" max="1" width="9.75" style="45" customWidth="1"/>
    <col min="2" max="2" width="5.75" style="45" customWidth="1"/>
    <col min="3" max="3" width="13.625" style="45" bestFit="1" customWidth="1"/>
    <col min="4" max="5" width="3.75" style="45" customWidth="1"/>
    <col min="6" max="7" width="4" style="45" bestFit="1" customWidth="1"/>
    <col min="8" max="15" width="3.75" style="45" customWidth="1"/>
    <col min="16" max="16" width="3.875" style="45" customWidth="1"/>
    <col min="17" max="18" width="3.75" style="45" customWidth="1"/>
    <col min="19" max="19" width="5.75" customWidth="1"/>
    <col min="20" max="20" width="16.375" style="45" bestFit="1" customWidth="1"/>
    <col min="21" max="21" width="20" style="45" bestFit="1" customWidth="1"/>
    <col min="22" max="22" width="18" style="45" bestFit="1" customWidth="1"/>
    <col min="23" max="23" width="16.25" style="45" bestFit="1" customWidth="1"/>
    <col min="24" max="39" width="3.75" style="45" customWidth="1"/>
    <col min="40" max="40" width="1.625" style="45" customWidth="1"/>
    <col min="41" max="41" width="12.75" style="45" bestFit="1" customWidth="1"/>
    <col min="42" max="16384" width="8.75" style="45"/>
  </cols>
  <sheetData>
    <row r="1" spans="1:42" ht="14.95" customHeight="1" thickBot="1" x14ac:dyDescent="0.3">
      <c r="A1" s="763" t="s">
        <v>234</v>
      </c>
      <c r="B1" s="764"/>
      <c r="C1" s="764"/>
      <c r="D1" s="765"/>
      <c r="E1" s="766" t="s">
        <v>36</v>
      </c>
      <c r="F1" s="767"/>
      <c r="G1" s="768"/>
      <c r="H1" s="766" t="s">
        <v>35</v>
      </c>
      <c r="I1" s="768"/>
      <c r="J1" s="773" t="s">
        <v>16</v>
      </c>
      <c r="K1" s="774"/>
      <c r="L1" s="774"/>
      <c r="M1" s="775"/>
      <c r="N1" s="773" t="s">
        <v>17</v>
      </c>
      <c r="O1" s="775"/>
      <c r="P1" s="773" t="s">
        <v>38</v>
      </c>
      <c r="Q1" s="774"/>
      <c r="R1" s="775"/>
      <c r="S1" s="63" t="s">
        <v>18</v>
      </c>
      <c r="T1" s="43" t="s">
        <v>19</v>
      </c>
      <c r="U1" s="42" t="s">
        <v>20</v>
      </c>
      <c r="V1" s="42" t="s">
        <v>44</v>
      </c>
      <c r="W1" s="64" t="s">
        <v>45</v>
      </c>
      <c r="X1" s="769" t="s">
        <v>30</v>
      </c>
      <c r="Y1" s="757"/>
      <c r="Z1" s="757"/>
      <c r="AA1" s="759"/>
      <c r="AB1" s="772" t="s">
        <v>31</v>
      </c>
      <c r="AC1" s="696"/>
      <c r="AD1" s="696"/>
      <c r="AE1" s="697"/>
      <c r="AF1" s="772" t="s">
        <v>32</v>
      </c>
      <c r="AG1" s="696"/>
      <c r="AH1" s="696"/>
      <c r="AI1" s="697"/>
      <c r="AJ1" s="772" t="s">
        <v>48</v>
      </c>
      <c r="AK1" s="696"/>
      <c r="AL1" s="696"/>
      <c r="AM1" s="697"/>
      <c r="AO1" s="770" t="s">
        <v>200</v>
      </c>
      <c r="AP1" s="771"/>
    </row>
    <row r="2" spans="1:42" ht="14.95" customHeight="1" thickBot="1" x14ac:dyDescent="0.3">
      <c r="A2" s="46" t="s">
        <v>28</v>
      </c>
      <c r="B2" s="47" t="s">
        <v>27</v>
      </c>
      <c r="C2" s="48" t="s">
        <v>26</v>
      </c>
      <c r="D2" s="48" t="s">
        <v>37</v>
      </c>
      <c r="E2" s="49" t="s">
        <v>25</v>
      </c>
      <c r="F2" s="49" t="s">
        <v>11</v>
      </c>
      <c r="G2" s="49" t="s">
        <v>12</v>
      </c>
      <c r="H2" s="50" t="s">
        <v>33</v>
      </c>
      <c r="I2" s="51" t="s">
        <v>34</v>
      </c>
      <c r="J2" s="51" t="s">
        <v>21</v>
      </c>
      <c r="K2" s="51" t="s">
        <v>22</v>
      </c>
      <c r="L2" s="51" t="s">
        <v>9</v>
      </c>
      <c r="M2" s="51" t="s">
        <v>23</v>
      </c>
      <c r="N2" s="51" t="s">
        <v>24</v>
      </c>
      <c r="O2" s="51" t="s">
        <v>25</v>
      </c>
      <c r="P2" s="51" t="s">
        <v>33</v>
      </c>
      <c r="Q2" s="51" t="s">
        <v>34</v>
      </c>
      <c r="R2" s="51" t="s">
        <v>21</v>
      </c>
      <c r="S2" s="55"/>
      <c r="T2" s="53"/>
      <c r="U2" s="52"/>
      <c r="V2" s="44"/>
      <c r="W2" s="54"/>
      <c r="X2" s="60" t="s">
        <v>7</v>
      </c>
      <c r="Y2" s="60" t="s">
        <v>8</v>
      </c>
      <c r="Z2" s="60" t="s">
        <v>9</v>
      </c>
      <c r="AA2" s="60" t="s">
        <v>10</v>
      </c>
      <c r="AB2" s="60" t="s">
        <v>7</v>
      </c>
      <c r="AC2" s="60" t="s">
        <v>8</v>
      </c>
      <c r="AD2" s="60" t="s">
        <v>9</v>
      </c>
      <c r="AE2" s="60" t="s">
        <v>10</v>
      </c>
      <c r="AF2" s="60" t="s">
        <v>7</v>
      </c>
      <c r="AG2" s="60" t="s">
        <v>8</v>
      </c>
      <c r="AH2" s="60" t="s">
        <v>9</v>
      </c>
      <c r="AI2" s="60" t="s">
        <v>10</v>
      </c>
      <c r="AJ2" s="60" t="s">
        <v>7</v>
      </c>
      <c r="AK2" s="60" t="s">
        <v>8</v>
      </c>
      <c r="AL2" s="60" t="s">
        <v>9</v>
      </c>
      <c r="AM2" s="60" t="s">
        <v>10</v>
      </c>
      <c r="AO2" s="319" t="s">
        <v>197</v>
      </c>
      <c r="AP2" s="1"/>
    </row>
    <row r="3" spans="1:42" ht="14.95" customHeight="1" thickBot="1" x14ac:dyDescent="0.3">
      <c r="A3" s="611" t="s">
        <v>374</v>
      </c>
      <c r="B3" s="541" t="s">
        <v>260</v>
      </c>
      <c r="C3" s="541" t="s">
        <v>100</v>
      </c>
      <c r="D3" s="541" t="s">
        <v>12</v>
      </c>
      <c r="E3" s="542" t="s">
        <v>10</v>
      </c>
      <c r="F3" s="542">
        <v>12</v>
      </c>
      <c r="G3" s="542">
        <v>60</v>
      </c>
      <c r="H3" s="602">
        <v>0</v>
      </c>
      <c r="I3" s="602">
        <v>0</v>
      </c>
      <c r="J3" s="602">
        <v>2</v>
      </c>
      <c r="K3" s="602">
        <v>1</v>
      </c>
      <c r="L3" s="602">
        <v>0</v>
      </c>
      <c r="M3" s="602">
        <v>0</v>
      </c>
      <c r="N3" s="602">
        <v>0</v>
      </c>
      <c r="O3" s="602">
        <v>0</v>
      </c>
      <c r="P3" s="602">
        <v>1</v>
      </c>
      <c r="Q3" s="602">
        <v>0</v>
      </c>
      <c r="R3" s="602">
        <v>10</v>
      </c>
      <c r="S3" s="557" t="s">
        <v>279</v>
      </c>
      <c r="T3" s="544" t="s">
        <v>286</v>
      </c>
      <c r="U3" s="545" t="s">
        <v>50</v>
      </c>
      <c r="V3" s="613" t="s">
        <v>521</v>
      </c>
      <c r="W3" s="546" t="s">
        <v>323</v>
      </c>
      <c r="X3" s="615">
        <v>1</v>
      </c>
      <c r="Y3" s="615">
        <v>0</v>
      </c>
      <c r="Z3" s="615">
        <v>0</v>
      </c>
      <c r="AA3" s="616">
        <v>1</v>
      </c>
      <c r="AB3" s="615">
        <v>0</v>
      </c>
      <c r="AC3" s="615">
        <v>0</v>
      </c>
      <c r="AD3" s="615">
        <v>0</v>
      </c>
      <c r="AE3" s="616">
        <v>0</v>
      </c>
      <c r="AF3" s="615">
        <v>1</v>
      </c>
      <c r="AG3" s="615">
        <v>0</v>
      </c>
      <c r="AH3" s="615">
        <v>0</v>
      </c>
      <c r="AI3" s="617">
        <v>1</v>
      </c>
      <c r="AJ3" s="615">
        <v>0</v>
      </c>
      <c r="AK3" s="615">
        <v>0</v>
      </c>
      <c r="AL3" s="615">
        <v>0</v>
      </c>
      <c r="AM3" s="617">
        <v>0</v>
      </c>
      <c r="AO3" s="435" t="s">
        <v>64</v>
      </c>
      <c r="AP3" s="436">
        <f>GloucesterPWRhistplayed</f>
        <v>154</v>
      </c>
    </row>
    <row r="4" spans="1:42" ht="14.95" customHeight="1" thickBot="1" x14ac:dyDescent="0.3">
      <c r="A4" s="553" t="s">
        <v>273</v>
      </c>
      <c r="B4" s="530" t="s">
        <v>260</v>
      </c>
      <c r="C4" s="530" t="s">
        <v>4</v>
      </c>
      <c r="D4" s="530" t="s">
        <v>375</v>
      </c>
      <c r="E4" s="531" t="s">
        <v>10</v>
      </c>
      <c r="F4" s="531">
        <v>33</v>
      </c>
      <c r="G4" s="531">
        <v>36</v>
      </c>
      <c r="H4" s="601">
        <v>1</v>
      </c>
      <c r="I4" s="601">
        <v>1</v>
      </c>
      <c r="J4" s="601">
        <v>5</v>
      </c>
      <c r="K4" s="601">
        <v>4</v>
      </c>
      <c r="L4" s="601">
        <v>0</v>
      </c>
      <c r="M4" s="601">
        <v>0</v>
      </c>
      <c r="N4" s="601">
        <v>0</v>
      </c>
      <c r="O4" s="601">
        <v>0</v>
      </c>
      <c r="P4" s="601">
        <v>1</v>
      </c>
      <c r="Q4" s="601">
        <v>0</v>
      </c>
      <c r="R4" s="601">
        <v>6</v>
      </c>
      <c r="S4" s="614" t="s">
        <v>377</v>
      </c>
      <c r="T4" s="532" t="s">
        <v>378</v>
      </c>
      <c r="U4" s="533" t="s">
        <v>50</v>
      </c>
      <c r="V4" s="562" t="s">
        <v>379</v>
      </c>
      <c r="W4" s="534" t="s">
        <v>380</v>
      </c>
      <c r="X4" s="618">
        <v>1</v>
      </c>
      <c r="Y4" s="618">
        <v>0</v>
      </c>
      <c r="Z4" s="618">
        <v>0</v>
      </c>
      <c r="AA4" s="619">
        <v>1</v>
      </c>
      <c r="AB4" s="618">
        <v>1</v>
      </c>
      <c r="AC4" s="618">
        <v>0</v>
      </c>
      <c r="AD4" s="618">
        <v>0</v>
      </c>
      <c r="AE4" s="619">
        <v>1</v>
      </c>
      <c r="AF4" s="618">
        <v>0</v>
      </c>
      <c r="AG4" s="618">
        <v>0</v>
      </c>
      <c r="AH4" s="618">
        <v>0</v>
      </c>
      <c r="AI4" s="620">
        <v>0</v>
      </c>
      <c r="AJ4" s="618">
        <v>0</v>
      </c>
      <c r="AK4" s="618">
        <v>0</v>
      </c>
      <c r="AL4" s="618">
        <v>0</v>
      </c>
      <c r="AM4" s="620">
        <v>0</v>
      </c>
      <c r="AO4" s="373" t="s">
        <v>65</v>
      </c>
      <c r="AP4" s="437">
        <f>GloucesterPWRhistwon</f>
        <v>108</v>
      </c>
    </row>
    <row r="5" spans="1:42" ht="14.95" customHeight="1" thickBot="1" x14ac:dyDescent="0.3">
      <c r="A5" s="553" t="s">
        <v>262</v>
      </c>
      <c r="B5" s="530" t="s">
        <v>260</v>
      </c>
      <c r="C5" s="530" t="s">
        <v>0</v>
      </c>
      <c r="D5" s="530" t="s">
        <v>375</v>
      </c>
      <c r="E5" s="531" t="s">
        <v>10</v>
      </c>
      <c r="F5" s="531">
        <v>24</v>
      </c>
      <c r="G5" s="531">
        <v>41</v>
      </c>
      <c r="H5" s="601">
        <v>1</v>
      </c>
      <c r="I5" s="601">
        <v>0</v>
      </c>
      <c r="J5" s="601">
        <v>4</v>
      </c>
      <c r="K5" s="601">
        <v>2</v>
      </c>
      <c r="L5" s="601">
        <v>0</v>
      </c>
      <c r="M5" s="601">
        <v>0</v>
      </c>
      <c r="N5" s="601">
        <v>0</v>
      </c>
      <c r="O5" s="601">
        <v>0</v>
      </c>
      <c r="P5" s="601">
        <v>1</v>
      </c>
      <c r="Q5" s="601">
        <v>0</v>
      </c>
      <c r="R5" s="601">
        <v>7</v>
      </c>
      <c r="S5" s="614" t="s">
        <v>381</v>
      </c>
      <c r="T5" s="532" t="s">
        <v>285</v>
      </c>
      <c r="U5" s="533" t="s">
        <v>50</v>
      </c>
      <c r="V5" s="562" t="s">
        <v>286</v>
      </c>
      <c r="W5" s="534" t="s">
        <v>295</v>
      </c>
      <c r="X5" s="618">
        <v>1</v>
      </c>
      <c r="Y5" s="618">
        <v>0</v>
      </c>
      <c r="Z5" s="618">
        <v>0</v>
      </c>
      <c r="AA5" s="619">
        <v>1</v>
      </c>
      <c r="AB5" s="618">
        <v>1</v>
      </c>
      <c r="AC5" s="618">
        <v>0</v>
      </c>
      <c r="AD5" s="618">
        <v>0</v>
      </c>
      <c r="AE5" s="619">
        <v>1</v>
      </c>
      <c r="AF5" s="618">
        <v>0</v>
      </c>
      <c r="AG5" s="618">
        <v>0</v>
      </c>
      <c r="AH5" s="618">
        <v>0</v>
      </c>
      <c r="AI5" s="620">
        <v>0</v>
      </c>
      <c r="AJ5" s="618">
        <v>0</v>
      </c>
      <c r="AK5" s="618">
        <v>0</v>
      </c>
      <c r="AL5" s="618">
        <v>0</v>
      </c>
      <c r="AM5" s="620">
        <v>0</v>
      </c>
      <c r="AO5" s="373" t="s">
        <v>192</v>
      </c>
      <c r="AP5" s="437">
        <f>GloucesterPWRhistdrawn</f>
        <v>3</v>
      </c>
    </row>
    <row r="6" spans="1:42" ht="14.95" customHeight="1" thickBot="1" x14ac:dyDescent="0.35">
      <c r="A6" s="493" t="s">
        <v>156</v>
      </c>
      <c r="B6" s="152" t="s">
        <v>73</v>
      </c>
      <c r="C6" s="152" t="s">
        <v>1</v>
      </c>
      <c r="D6" s="153" t="s">
        <v>153</v>
      </c>
      <c r="E6" s="153" t="s">
        <v>8</v>
      </c>
      <c r="F6" s="153">
        <v>40</v>
      </c>
      <c r="G6" s="153">
        <v>14</v>
      </c>
      <c r="H6" s="454">
        <v>1</v>
      </c>
      <c r="I6" s="454">
        <v>0</v>
      </c>
      <c r="J6" s="454">
        <v>6</v>
      </c>
      <c r="K6" s="454">
        <v>5</v>
      </c>
      <c r="L6" s="454">
        <v>0</v>
      </c>
      <c r="M6" s="454">
        <v>0</v>
      </c>
      <c r="N6" s="454">
        <v>0</v>
      </c>
      <c r="O6" s="454">
        <v>0</v>
      </c>
      <c r="P6" s="454">
        <v>0</v>
      </c>
      <c r="Q6" s="454">
        <v>0</v>
      </c>
      <c r="R6" s="454">
        <v>2</v>
      </c>
      <c r="S6" s="347" t="s">
        <v>306</v>
      </c>
      <c r="T6" s="338" t="s">
        <v>296</v>
      </c>
      <c r="U6" s="339" t="s">
        <v>297</v>
      </c>
      <c r="V6" s="494" t="s">
        <v>285</v>
      </c>
      <c r="W6" s="340" t="s">
        <v>298</v>
      </c>
      <c r="X6" s="621">
        <v>1</v>
      </c>
      <c r="Y6" s="621">
        <v>1</v>
      </c>
      <c r="Z6" s="621">
        <v>0</v>
      </c>
      <c r="AA6" s="622">
        <v>0</v>
      </c>
      <c r="AB6" s="621">
        <v>1</v>
      </c>
      <c r="AC6" s="621">
        <v>1</v>
      </c>
      <c r="AD6" s="621">
        <v>0</v>
      </c>
      <c r="AE6" s="622">
        <v>0</v>
      </c>
      <c r="AF6" s="621">
        <v>0</v>
      </c>
      <c r="AG6" s="621">
        <v>0</v>
      </c>
      <c r="AH6" s="621">
        <v>0</v>
      </c>
      <c r="AI6" s="623">
        <v>0</v>
      </c>
      <c r="AJ6" s="621">
        <v>0</v>
      </c>
      <c r="AK6" s="621">
        <v>0</v>
      </c>
      <c r="AL6" s="621">
        <v>0</v>
      </c>
      <c r="AM6" s="160">
        <v>0</v>
      </c>
      <c r="AO6" s="373" t="s">
        <v>66</v>
      </c>
      <c r="AP6" s="437">
        <f>GloucesterPWRhistlost</f>
        <v>43</v>
      </c>
    </row>
    <row r="7" spans="1:42" ht="14.95" customHeight="1" thickBot="1" x14ac:dyDescent="0.35">
      <c r="A7" s="495" t="s">
        <v>167</v>
      </c>
      <c r="B7" s="147" t="s">
        <v>73</v>
      </c>
      <c r="C7" s="147" t="s">
        <v>4</v>
      </c>
      <c r="D7" s="148" t="s">
        <v>12</v>
      </c>
      <c r="E7" s="148" t="s">
        <v>8</v>
      </c>
      <c r="F7" s="148">
        <v>47</v>
      </c>
      <c r="G7" s="148">
        <v>31</v>
      </c>
      <c r="H7" s="453">
        <v>1</v>
      </c>
      <c r="I7" s="453">
        <v>0</v>
      </c>
      <c r="J7" s="453">
        <v>7</v>
      </c>
      <c r="K7" s="453">
        <v>5</v>
      </c>
      <c r="L7" s="453">
        <v>0</v>
      </c>
      <c r="M7" s="453">
        <v>0</v>
      </c>
      <c r="N7" s="453">
        <v>0</v>
      </c>
      <c r="O7" s="453">
        <v>0</v>
      </c>
      <c r="P7" s="453">
        <v>1</v>
      </c>
      <c r="Q7" s="453">
        <v>0</v>
      </c>
      <c r="R7" s="453">
        <v>5</v>
      </c>
      <c r="S7" s="346" t="s">
        <v>258</v>
      </c>
      <c r="T7" s="149" t="s">
        <v>294</v>
      </c>
      <c r="U7" s="150" t="s">
        <v>50</v>
      </c>
      <c r="V7" s="496" t="s">
        <v>338</v>
      </c>
      <c r="W7" s="151" t="s">
        <v>283</v>
      </c>
      <c r="X7" s="624">
        <v>1</v>
      </c>
      <c r="Y7" s="624">
        <v>1</v>
      </c>
      <c r="Z7" s="624">
        <v>0</v>
      </c>
      <c r="AA7" s="625">
        <v>0</v>
      </c>
      <c r="AB7" s="624">
        <v>0</v>
      </c>
      <c r="AC7" s="624">
        <v>0</v>
      </c>
      <c r="AD7" s="624">
        <v>0</v>
      </c>
      <c r="AE7" s="625">
        <v>0</v>
      </c>
      <c r="AF7" s="624">
        <v>1</v>
      </c>
      <c r="AG7" s="624">
        <v>1</v>
      </c>
      <c r="AH7" s="624">
        <v>0</v>
      </c>
      <c r="AI7" s="626">
        <v>0</v>
      </c>
      <c r="AJ7" s="624">
        <v>0</v>
      </c>
      <c r="AK7" s="624">
        <v>0</v>
      </c>
      <c r="AL7" s="624">
        <v>0</v>
      </c>
      <c r="AM7" s="166">
        <v>0</v>
      </c>
      <c r="AO7" s="373" t="s">
        <v>193</v>
      </c>
      <c r="AP7" s="437">
        <f>GloucesterPWRhistptsfor</f>
        <v>5168</v>
      </c>
    </row>
    <row r="8" spans="1:42" ht="14.95" customHeight="1" thickBot="1" x14ac:dyDescent="0.3">
      <c r="A8" s="161" t="s">
        <v>158</v>
      </c>
      <c r="B8" s="162" t="s">
        <v>73</v>
      </c>
      <c r="C8" s="147" t="s">
        <v>0</v>
      </c>
      <c r="D8" s="148" t="s">
        <v>12</v>
      </c>
      <c r="E8" s="148" t="s">
        <v>8</v>
      </c>
      <c r="F8" s="148">
        <v>33</v>
      </c>
      <c r="G8" s="148">
        <v>26</v>
      </c>
      <c r="H8" s="453">
        <v>1</v>
      </c>
      <c r="I8" s="453">
        <v>0</v>
      </c>
      <c r="J8" s="453">
        <v>5</v>
      </c>
      <c r="K8" s="453">
        <v>4</v>
      </c>
      <c r="L8" s="453">
        <v>0</v>
      </c>
      <c r="M8" s="453">
        <v>0</v>
      </c>
      <c r="N8" s="453">
        <v>1</v>
      </c>
      <c r="O8" s="453">
        <v>0</v>
      </c>
      <c r="P8" s="453">
        <v>1</v>
      </c>
      <c r="Q8" s="453">
        <v>0</v>
      </c>
      <c r="R8" s="453">
        <v>4</v>
      </c>
      <c r="S8" s="163" t="s">
        <v>392</v>
      </c>
      <c r="T8" s="149" t="s">
        <v>324</v>
      </c>
      <c r="U8" s="150" t="s">
        <v>289</v>
      </c>
      <c r="V8" s="151" t="s">
        <v>298</v>
      </c>
      <c r="W8" s="164" t="s">
        <v>292</v>
      </c>
      <c r="X8" s="164">
        <v>1</v>
      </c>
      <c r="Y8" s="164">
        <v>1</v>
      </c>
      <c r="Z8" s="164">
        <v>0</v>
      </c>
      <c r="AA8" s="165">
        <v>0</v>
      </c>
      <c r="AB8" s="164">
        <v>0</v>
      </c>
      <c r="AC8" s="164">
        <v>0</v>
      </c>
      <c r="AD8" s="164">
        <v>0</v>
      </c>
      <c r="AE8" s="165">
        <v>0</v>
      </c>
      <c r="AF8" s="164">
        <v>1</v>
      </c>
      <c r="AG8" s="164">
        <v>1</v>
      </c>
      <c r="AH8" s="164">
        <v>0</v>
      </c>
      <c r="AI8" s="166">
        <v>0</v>
      </c>
      <c r="AJ8" s="164">
        <v>0</v>
      </c>
      <c r="AK8" s="164">
        <v>0</v>
      </c>
      <c r="AL8" s="164">
        <v>0</v>
      </c>
      <c r="AM8" s="118">
        <v>0</v>
      </c>
      <c r="AO8" s="373" t="s">
        <v>194</v>
      </c>
      <c r="AP8" s="437">
        <f>GloucesterPWRhistptsaga</f>
        <v>3121</v>
      </c>
    </row>
    <row r="9" spans="1:42" ht="14.95" customHeight="1" thickBot="1" x14ac:dyDescent="0.35">
      <c r="A9" s="167" t="s">
        <v>242</v>
      </c>
      <c r="B9" s="155" t="s">
        <v>73</v>
      </c>
      <c r="C9" s="168" t="s">
        <v>3</v>
      </c>
      <c r="D9" s="169" t="s">
        <v>153</v>
      </c>
      <c r="E9" s="169" t="s">
        <v>8</v>
      </c>
      <c r="F9" s="169">
        <v>40</v>
      </c>
      <c r="G9" s="169">
        <v>24</v>
      </c>
      <c r="H9" s="456">
        <v>1</v>
      </c>
      <c r="I9" s="456">
        <v>0</v>
      </c>
      <c r="J9" s="456">
        <v>6</v>
      </c>
      <c r="K9" s="456">
        <v>5</v>
      </c>
      <c r="L9" s="456">
        <v>0</v>
      </c>
      <c r="M9" s="456">
        <v>0</v>
      </c>
      <c r="N9" s="456">
        <v>0</v>
      </c>
      <c r="O9" s="456">
        <v>0</v>
      </c>
      <c r="P9" s="456">
        <v>1</v>
      </c>
      <c r="Q9" s="456">
        <v>0</v>
      </c>
      <c r="R9" s="456">
        <v>4</v>
      </c>
      <c r="S9" s="156" t="s">
        <v>397</v>
      </c>
      <c r="T9" s="157" t="s">
        <v>448</v>
      </c>
      <c r="U9" s="158" t="s">
        <v>50</v>
      </c>
      <c r="V9" s="158" t="s">
        <v>449</v>
      </c>
      <c r="W9" s="158" t="s">
        <v>450</v>
      </c>
      <c r="X9" s="158">
        <v>1</v>
      </c>
      <c r="Y9" s="158">
        <v>1</v>
      </c>
      <c r="Z9" s="158">
        <v>0</v>
      </c>
      <c r="AA9" s="158">
        <v>0</v>
      </c>
      <c r="AB9" s="158">
        <v>1</v>
      </c>
      <c r="AC9" s="158">
        <v>1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7">
        <v>0</v>
      </c>
      <c r="AJ9" s="158">
        <v>0</v>
      </c>
      <c r="AK9" s="158">
        <v>0</v>
      </c>
      <c r="AL9" s="158">
        <v>0</v>
      </c>
      <c r="AM9" s="119">
        <v>0</v>
      </c>
    </row>
    <row r="10" spans="1:42" ht="14.95" customHeight="1" thickBot="1" x14ac:dyDescent="0.35">
      <c r="A10" s="161" t="s">
        <v>159</v>
      </c>
      <c r="B10" s="162" t="s">
        <v>73</v>
      </c>
      <c r="C10" s="147" t="s">
        <v>49</v>
      </c>
      <c r="D10" s="148" t="s">
        <v>155</v>
      </c>
      <c r="E10" s="148" t="s">
        <v>8</v>
      </c>
      <c r="F10" s="148">
        <v>54</v>
      </c>
      <c r="G10" s="148">
        <v>14</v>
      </c>
      <c r="H10" s="453">
        <v>1</v>
      </c>
      <c r="I10" s="453">
        <v>0</v>
      </c>
      <c r="J10" s="453">
        <v>8</v>
      </c>
      <c r="K10" s="453">
        <v>7</v>
      </c>
      <c r="L10" s="453">
        <v>0</v>
      </c>
      <c r="M10" s="453">
        <v>0</v>
      </c>
      <c r="N10" s="453">
        <v>0</v>
      </c>
      <c r="O10" s="453">
        <v>0</v>
      </c>
      <c r="P10" s="453">
        <v>0</v>
      </c>
      <c r="Q10" s="453">
        <v>0</v>
      </c>
      <c r="R10" s="453">
        <v>2</v>
      </c>
      <c r="S10" s="176" t="s">
        <v>483</v>
      </c>
      <c r="T10" s="172" t="s">
        <v>471</v>
      </c>
      <c r="U10" s="164" t="s">
        <v>472</v>
      </c>
      <c r="V10" s="164" t="s">
        <v>285</v>
      </c>
      <c r="W10" s="166" t="s">
        <v>296</v>
      </c>
      <c r="X10" s="164">
        <v>1</v>
      </c>
      <c r="Y10" s="164">
        <v>1</v>
      </c>
      <c r="Z10" s="164">
        <v>0</v>
      </c>
      <c r="AA10" s="164">
        <v>0</v>
      </c>
      <c r="AB10" s="164">
        <v>0</v>
      </c>
      <c r="AC10" s="164">
        <v>0</v>
      </c>
      <c r="AD10" s="164">
        <v>0</v>
      </c>
      <c r="AE10" s="164">
        <v>0</v>
      </c>
      <c r="AF10" s="164">
        <v>1</v>
      </c>
      <c r="AG10" s="164">
        <v>1</v>
      </c>
      <c r="AH10" s="164">
        <v>0</v>
      </c>
      <c r="AI10" s="172">
        <v>0</v>
      </c>
      <c r="AJ10" s="164">
        <v>0</v>
      </c>
      <c r="AK10" s="164">
        <v>0</v>
      </c>
      <c r="AL10" s="164">
        <v>0</v>
      </c>
      <c r="AM10" s="512">
        <v>0</v>
      </c>
    </row>
    <row r="11" spans="1:42" ht="14.95" customHeight="1" thickBot="1" x14ac:dyDescent="0.35">
      <c r="A11" s="154" t="s">
        <v>163</v>
      </c>
      <c r="B11" s="155" t="s">
        <v>73</v>
      </c>
      <c r="C11" s="152" t="s">
        <v>100</v>
      </c>
      <c r="D11" s="153" t="s">
        <v>153</v>
      </c>
      <c r="E11" s="153" t="s">
        <v>8</v>
      </c>
      <c r="F11" s="153">
        <v>29</v>
      </c>
      <c r="G11" s="153">
        <v>28</v>
      </c>
      <c r="H11" s="454">
        <v>1</v>
      </c>
      <c r="I11" s="454">
        <v>0</v>
      </c>
      <c r="J11" s="454">
        <v>5</v>
      </c>
      <c r="K11" s="454">
        <v>2</v>
      </c>
      <c r="L11" s="454">
        <v>0</v>
      </c>
      <c r="M11" s="454">
        <v>0</v>
      </c>
      <c r="N11" s="454">
        <v>1</v>
      </c>
      <c r="O11" s="454">
        <v>0</v>
      </c>
      <c r="P11" s="454">
        <v>1</v>
      </c>
      <c r="Q11" s="454">
        <v>0</v>
      </c>
      <c r="R11" s="454">
        <v>4</v>
      </c>
      <c r="S11" s="156" t="s">
        <v>495</v>
      </c>
      <c r="T11" s="157" t="s">
        <v>289</v>
      </c>
      <c r="U11" s="158" t="s">
        <v>491</v>
      </c>
      <c r="V11" s="158" t="s">
        <v>383</v>
      </c>
      <c r="W11" s="160" t="s">
        <v>284</v>
      </c>
      <c r="X11" s="158">
        <v>1</v>
      </c>
      <c r="Y11" s="158">
        <v>1</v>
      </c>
      <c r="Z11" s="158">
        <v>0</v>
      </c>
      <c r="AA11" s="158">
        <v>0</v>
      </c>
      <c r="AB11" s="158">
        <v>1</v>
      </c>
      <c r="AC11" s="158">
        <v>1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7">
        <v>0</v>
      </c>
      <c r="AJ11" s="158">
        <v>0</v>
      </c>
      <c r="AK11" s="158">
        <v>0</v>
      </c>
      <c r="AL11" s="158">
        <v>0</v>
      </c>
      <c r="AM11" s="119">
        <v>0</v>
      </c>
    </row>
    <row r="12" spans="1:42" ht="14.95" customHeight="1" thickBot="1" x14ac:dyDescent="0.35">
      <c r="A12" s="161" t="s">
        <v>162</v>
      </c>
      <c r="B12" s="162" t="s">
        <v>73</v>
      </c>
      <c r="C12" s="147" t="s">
        <v>70</v>
      </c>
      <c r="D12" s="148" t="s">
        <v>12</v>
      </c>
      <c r="E12" s="148" t="s">
        <v>8</v>
      </c>
      <c r="F12" s="148">
        <v>75</v>
      </c>
      <c r="G12" s="148">
        <v>12</v>
      </c>
      <c r="H12" s="453">
        <v>1</v>
      </c>
      <c r="I12" s="453">
        <v>0</v>
      </c>
      <c r="J12" s="453">
        <v>11</v>
      </c>
      <c r="K12" s="453">
        <v>10</v>
      </c>
      <c r="L12" s="453">
        <v>0</v>
      </c>
      <c r="M12" s="453">
        <v>0</v>
      </c>
      <c r="N12" s="453">
        <v>1</v>
      </c>
      <c r="O12" s="453">
        <v>0</v>
      </c>
      <c r="P12" s="453">
        <v>0</v>
      </c>
      <c r="Q12" s="453">
        <v>0</v>
      </c>
      <c r="R12" s="453">
        <v>2</v>
      </c>
      <c r="S12" s="359" t="s">
        <v>553</v>
      </c>
      <c r="T12" s="173" t="s">
        <v>326</v>
      </c>
      <c r="U12" s="174" t="s">
        <v>50</v>
      </c>
      <c r="V12" s="164" t="s">
        <v>283</v>
      </c>
      <c r="W12" s="166" t="s">
        <v>545</v>
      </c>
      <c r="X12" s="164">
        <v>1</v>
      </c>
      <c r="Y12" s="164">
        <v>1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4">
        <v>1</v>
      </c>
      <c r="AG12" s="164">
        <v>1</v>
      </c>
      <c r="AH12" s="164">
        <v>0</v>
      </c>
      <c r="AI12" s="172">
        <v>0</v>
      </c>
      <c r="AJ12" s="164">
        <v>0</v>
      </c>
      <c r="AK12" s="164">
        <v>0</v>
      </c>
      <c r="AL12" s="164">
        <v>0</v>
      </c>
      <c r="AM12" s="118">
        <v>0</v>
      </c>
    </row>
    <row r="13" spans="1:42" ht="14.95" customHeight="1" thickBot="1" x14ac:dyDescent="0.35">
      <c r="A13" s="154" t="s">
        <v>508</v>
      </c>
      <c r="B13" s="155" t="s">
        <v>73</v>
      </c>
      <c r="C13" s="152" t="s">
        <v>540</v>
      </c>
      <c r="D13" s="153" t="s">
        <v>153</v>
      </c>
      <c r="E13" s="153" t="s">
        <v>8</v>
      </c>
      <c r="F13" s="153">
        <v>45</v>
      </c>
      <c r="G13" s="153">
        <v>26</v>
      </c>
      <c r="H13" s="454">
        <v>1</v>
      </c>
      <c r="I13" s="454">
        <v>0</v>
      </c>
      <c r="J13" s="454">
        <v>7</v>
      </c>
      <c r="K13" s="454">
        <v>5</v>
      </c>
      <c r="L13" s="454">
        <v>0</v>
      </c>
      <c r="M13" s="454">
        <v>0</v>
      </c>
      <c r="N13" s="454">
        <v>0</v>
      </c>
      <c r="O13" s="454">
        <v>0</v>
      </c>
      <c r="P13" s="454">
        <v>1</v>
      </c>
      <c r="Q13" s="454">
        <v>0</v>
      </c>
      <c r="R13" s="454">
        <v>4</v>
      </c>
      <c r="S13" s="156" t="s">
        <v>495</v>
      </c>
      <c r="T13" s="157" t="s">
        <v>558</v>
      </c>
      <c r="U13" s="158" t="s">
        <v>297</v>
      </c>
      <c r="V13" s="158" t="s">
        <v>379</v>
      </c>
      <c r="W13" s="160" t="s">
        <v>284</v>
      </c>
      <c r="X13" s="158">
        <v>1</v>
      </c>
      <c r="Y13" s="158">
        <v>1</v>
      </c>
      <c r="Z13" s="158">
        <v>0</v>
      </c>
      <c r="AA13" s="158">
        <v>0</v>
      </c>
      <c r="AB13" s="158">
        <v>1</v>
      </c>
      <c r="AC13" s="158">
        <v>1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7">
        <v>0</v>
      </c>
      <c r="AJ13" s="158">
        <v>0</v>
      </c>
      <c r="AK13" s="158">
        <v>0</v>
      </c>
      <c r="AL13" s="158">
        <v>0</v>
      </c>
      <c r="AM13" s="119">
        <v>0</v>
      </c>
    </row>
    <row r="14" spans="1:42" ht="14.95" customHeight="1" thickBot="1" x14ac:dyDescent="0.35">
      <c r="A14" s="161" t="s">
        <v>509</v>
      </c>
      <c r="B14" s="162" t="s">
        <v>73</v>
      </c>
      <c r="C14" s="147" t="s">
        <v>3</v>
      </c>
      <c r="D14" s="148" t="s">
        <v>12</v>
      </c>
      <c r="E14" s="148" t="s">
        <v>8</v>
      </c>
      <c r="F14" s="148">
        <v>22</v>
      </c>
      <c r="G14" s="148">
        <v>7</v>
      </c>
      <c r="H14" s="453">
        <v>1</v>
      </c>
      <c r="I14" s="453">
        <v>0</v>
      </c>
      <c r="J14" s="453">
        <v>4</v>
      </c>
      <c r="K14" s="453">
        <v>1</v>
      </c>
      <c r="L14" s="453">
        <v>0</v>
      </c>
      <c r="M14" s="453">
        <v>0</v>
      </c>
      <c r="N14" s="453">
        <v>0</v>
      </c>
      <c r="O14" s="453">
        <v>0</v>
      </c>
      <c r="P14" s="453">
        <v>0</v>
      </c>
      <c r="Q14" s="453">
        <v>0</v>
      </c>
      <c r="R14" s="453">
        <v>1</v>
      </c>
      <c r="S14" s="176" t="s">
        <v>580</v>
      </c>
      <c r="T14" s="172" t="s">
        <v>574</v>
      </c>
      <c r="U14" s="164" t="s">
        <v>50</v>
      </c>
      <c r="V14" s="164" t="s">
        <v>327</v>
      </c>
      <c r="W14" s="166" t="s">
        <v>295</v>
      </c>
      <c r="X14" s="164">
        <v>1</v>
      </c>
      <c r="Y14" s="164">
        <v>1</v>
      </c>
      <c r="Z14" s="164">
        <v>0</v>
      </c>
      <c r="AA14" s="164">
        <v>0</v>
      </c>
      <c r="AB14" s="164">
        <v>0</v>
      </c>
      <c r="AC14" s="164">
        <v>0</v>
      </c>
      <c r="AD14" s="164">
        <v>0</v>
      </c>
      <c r="AE14" s="164">
        <v>0</v>
      </c>
      <c r="AF14" s="164">
        <v>1</v>
      </c>
      <c r="AG14" s="164">
        <v>1</v>
      </c>
      <c r="AH14" s="164">
        <v>0</v>
      </c>
      <c r="AI14" s="172">
        <v>0</v>
      </c>
      <c r="AJ14" s="164">
        <v>0</v>
      </c>
      <c r="AK14" s="164">
        <v>0</v>
      </c>
      <c r="AL14" s="164">
        <v>0</v>
      </c>
      <c r="AM14" s="118">
        <v>0</v>
      </c>
    </row>
    <row r="15" spans="1:42" ht="14.95" customHeight="1" thickBot="1" x14ac:dyDescent="0.35">
      <c r="A15" s="154" t="s">
        <v>511</v>
      </c>
      <c r="B15" s="155" t="s">
        <v>73</v>
      </c>
      <c r="C15" s="152" t="s">
        <v>0</v>
      </c>
      <c r="D15" s="153" t="s">
        <v>153</v>
      </c>
      <c r="E15" s="153" t="s">
        <v>8</v>
      </c>
      <c r="F15" s="153">
        <v>45</v>
      </c>
      <c r="G15" s="153">
        <v>22</v>
      </c>
      <c r="H15" s="454">
        <v>1</v>
      </c>
      <c r="I15" s="454">
        <v>0</v>
      </c>
      <c r="J15" s="454">
        <v>7</v>
      </c>
      <c r="K15" s="454">
        <v>5</v>
      </c>
      <c r="L15" s="454">
        <v>0</v>
      </c>
      <c r="M15" s="454">
        <v>0</v>
      </c>
      <c r="N15" s="454">
        <v>0</v>
      </c>
      <c r="O15" s="454">
        <v>0</v>
      </c>
      <c r="P15" s="454">
        <v>1</v>
      </c>
      <c r="Q15" s="454">
        <v>0</v>
      </c>
      <c r="R15" s="454">
        <v>4</v>
      </c>
      <c r="S15" s="156" t="s">
        <v>596</v>
      </c>
      <c r="T15" s="157" t="s">
        <v>573</v>
      </c>
      <c r="U15" s="158" t="s">
        <v>296</v>
      </c>
      <c r="V15" s="158" t="s">
        <v>284</v>
      </c>
      <c r="W15" s="160" t="s">
        <v>323</v>
      </c>
      <c r="X15" s="158">
        <v>1</v>
      </c>
      <c r="Y15" s="158">
        <v>1</v>
      </c>
      <c r="Z15" s="158">
        <v>0</v>
      </c>
      <c r="AA15" s="158">
        <v>0</v>
      </c>
      <c r="AB15" s="158">
        <v>1</v>
      </c>
      <c r="AC15" s="158">
        <v>1</v>
      </c>
      <c r="AD15" s="158">
        <v>0</v>
      </c>
      <c r="AE15" s="158">
        <v>0</v>
      </c>
      <c r="AF15" s="158">
        <v>0</v>
      </c>
      <c r="AG15" s="158">
        <v>0</v>
      </c>
      <c r="AH15" s="158">
        <v>0</v>
      </c>
      <c r="AI15" s="157">
        <v>0</v>
      </c>
      <c r="AJ15" s="158">
        <v>0</v>
      </c>
      <c r="AK15" s="158">
        <v>0</v>
      </c>
      <c r="AL15" s="158">
        <v>0</v>
      </c>
      <c r="AM15" s="119">
        <v>0</v>
      </c>
    </row>
    <row r="16" spans="1:42" ht="14.95" customHeight="1" thickBot="1" x14ac:dyDescent="0.35">
      <c r="A16" s="154" t="s">
        <v>515</v>
      </c>
      <c r="B16" s="155" t="s">
        <v>73</v>
      </c>
      <c r="C16" s="152" t="s">
        <v>4</v>
      </c>
      <c r="D16" s="153" t="s">
        <v>153</v>
      </c>
      <c r="E16" s="153" t="s">
        <v>8</v>
      </c>
      <c r="F16" s="153">
        <v>38</v>
      </c>
      <c r="G16" s="153">
        <v>20</v>
      </c>
      <c r="H16" s="454">
        <v>1</v>
      </c>
      <c r="I16" s="454">
        <v>0</v>
      </c>
      <c r="J16" s="454">
        <v>6</v>
      </c>
      <c r="K16" s="454">
        <v>4</v>
      </c>
      <c r="L16" s="454">
        <v>0</v>
      </c>
      <c r="M16" s="454">
        <v>0</v>
      </c>
      <c r="N16" s="454">
        <v>0</v>
      </c>
      <c r="O16" s="454">
        <v>0</v>
      </c>
      <c r="P16" s="454">
        <v>1</v>
      </c>
      <c r="Q16" s="454">
        <v>0</v>
      </c>
      <c r="R16" s="454">
        <v>4</v>
      </c>
      <c r="S16" s="156" t="s">
        <v>476</v>
      </c>
      <c r="T16" s="157" t="s">
        <v>378</v>
      </c>
      <c r="U16" s="158" t="s">
        <v>50</v>
      </c>
      <c r="V16" s="158" t="s">
        <v>297</v>
      </c>
      <c r="W16" s="160" t="s">
        <v>379</v>
      </c>
      <c r="X16" s="158">
        <v>1</v>
      </c>
      <c r="Y16" s="158">
        <v>1</v>
      </c>
      <c r="Z16" s="158">
        <v>0</v>
      </c>
      <c r="AA16" s="158">
        <v>0</v>
      </c>
      <c r="AB16" s="158">
        <v>1</v>
      </c>
      <c r="AC16" s="158">
        <v>1</v>
      </c>
      <c r="AD16" s="158">
        <v>0</v>
      </c>
      <c r="AE16" s="158">
        <v>0</v>
      </c>
      <c r="AF16" s="158">
        <v>0</v>
      </c>
      <c r="AG16" s="158">
        <v>0</v>
      </c>
      <c r="AH16" s="158">
        <v>0</v>
      </c>
      <c r="AI16" s="157">
        <v>0</v>
      </c>
      <c r="AJ16" s="158">
        <v>0</v>
      </c>
      <c r="AK16" s="158">
        <v>0</v>
      </c>
      <c r="AL16" s="158">
        <v>0</v>
      </c>
      <c r="AM16" s="119">
        <v>0</v>
      </c>
    </row>
    <row r="17" spans="1:39" ht="14.95" customHeight="1" thickBot="1" x14ac:dyDescent="0.3">
      <c r="A17" s="178" t="s">
        <v>519</v>
      </c>
      <c r="B17" s="162" t="s">
        <v>73</v>
      </c>
      <c r="C17" s="147" t="s">
        <v>1</v>
      </c>
      <c r="D17" s="148" t="s">
        <v>12</v>
      </c>
      <c r="E17" s="148" t="s">
        <v>8</v>
      </c>
      <c r="F17" s="148">
        <v>22</v>
      </c>
      <c r="G17" s="148">
        <v>17</v>
      </c>
      <c r="H17" s="453">
        <v>1</v>
      </c>
      <c r="I17" s="453">
        <v>0</v>
      </c>
      <c r="J17" s="453">
        <v>4</v>
      </c>
      <c r="K17" s="453">
        <v>1</v>
      </c>
      <c r="L17" s="453">
        <v>0</v>
      </c>
      <c r="M17" s="453">
        <v>0</v>
      </c>
      <c r="N17" s="453">
        <v>0</v>
      </c>
      <c r="O17" s="453">
        <v>0</v>
      </c>
      <c r="P17" s="453">
        <v>0</v>
      </c>
      <c r="Q17" s="453">
        <v>1</v>
      </c>
      <c r="R17" s="453">
        <v>2</v>
      </c>
      <c r="S17" s="337" t="s">
        <v>473</v>
      </c>
      <c r="T17" s="172" t="s">
        <v>643</v>
      </c>
      <c r="U17" s="164" t="s">
        <v>289</v>
      </c>
      <c r="V17" s="164" t="s">
        <v>378</v>
      </c>
      <c r="W17" s="166" t="s">
        <v>338</v>
      </c>
      <c r="X17" s="164">
        <v>1</v>
      </c>
      <c r="Y17" s="164">
        <v>1</v>
      </c>
      <c r="Z17" s="164">
        <v>0</v>
      </c>
      <c r="AA17" s="164">
        <v>0</v>
      </c>
      <c r="AB17" s="164">
        <v>0</v>
      </c>
      <c r="AC17" s="164">
        <v>0</v>
      </c>
      <c r="AD17" s="164">
        <v>0</v>
      </c>
      <c r="AE17" s="164">
        <v>0</v>
      </c>
      <c r="AF17" s="164">
        <v>1</v>
      </c>
      <c r="AG17" s="164">
        <v>1</v>
      </c>
      <c r="AH17" s="164">
        <v>0</v>
      </c>
      <c r="AI17" s="172">
        <v>0</v>
      </c>
      <c r="AJ17" s="164">
        <v>0</v>
      </c>
      <c r="AK17" s="164">
        <v>0</v>
      </c>
      <c r="AL17" s="164">
        <v>0</v>
      </c>
      <c r="AM17" s="118">
        <v>0</v>
      </c>
    </row>
    <row r="18" spans="1:39" ht="14.95" customHeight="1" thickBot="1" x14ac:dyDescent="0.3">
      <c r="A18" s="178" t="s">
        <v>127</v>
      </c>
      <c r="B18" s="162" t="s">
        <v>73</v>
      </c>
      <c r="C18" s="147" t="s">
        <v>540</v>
      </c>
      <c r="D18" s="148" t="s">
        <v>12</v>
      </c>
      <c r="E18" s="148" t="s">
        <v>8</v>
      </c>
      <c r="F18" s="148">
        <v>43</v>
      </c>
      <c r="G18" s="148">
        <v>38</v>
      </c>
      <c r="H18" s="453">
        <v>1</v>
      </c>
      <c r="I18" s="453">
        <v>0</v>
      </c>
      <c r="J18" s="453">
        <v>7</v>
      </c>
      <c r="K18" s="453">
        <v>4</v>
      </c>
      <c r="L18" s="453">
        <v>0</v>
      </c>
      <c r="M18" s="453">
        <v>0</v>
      </c>
      <c r="N18" s="453">
        <v>2</v>
      </c>
      <c r="O18" s="453">
        <v>0</v>
      </c>
      <c r="P18" s="453">
        <v>1</v>
      </c>
      <c r="Q18" s="453">
        <v>1</v>
      </c>
      <c r="R18" s="453">
        <v>6</v>
      </c>
      <c r="S18" s="337" t="s">
        <v>396</v>
      </c>
      <c r="T18" s="172" t="s">
        <v>324</v>
      </c>
      <c r="U18" s="164" t="s">
        <v>289</v>
      </c>
      <c r="V18" s="164" t="s">
        <v>560</v>
      </c>
      <c r="W18" s="166" t="s">
        <v>611</v>
      </c>
      <c r="X18" s="164">
        <v>1</v>
      </c>
      <c r="Y18" s="164">
        <v>1</v>
      </c>
      <c r="Z18" s="164">
        <v>0</v>
      </c>
      <c r="AA18" s="164">
        <v>0</v>
      </c>
      <c r="AB18" s="164">
        <v>0</v>
      </c>
      <c r="AC18" s="164">
        <v>0</v>
      </c>
      <c r="AD18" s="164">
        <v>0</v>
      </c>
      <c r="AE18" s="164">
        <v>0</v>
      </c>
      <c r="AF18" s="164">
        <v>1</v>
      </c>
      <c r="AG18" s="164">
        <v>1</v>
      </c>
      <c r="AH18" s="164">
        <v>0</v>
      </c>
      <c r="AI18" s="172">
        <v>0</v>
      </c>
      <c r="AJ18" s="164">
        <v>0</v>
      </c>
      <c r="AK18" s="164">
        <v>0</v>
      </c>
      <c r="AL18" s="164">
        <v>0</v>
      </c>
      <c r="AM18" s="118">
        <v>0</v>
      </c>
    </row>
    <row r="19" spans="1:39" ht="14.95" customHeight="1" thickBot="1" x14ac:dyDescent="0.35">
      <c r="A19" s="177" t="s">
        <v>127</v>
      </c>
      <c r="B19" s="155" t="s">
        <v>73</v>
      </c>
      <c r="C19" s="152" t="s">
        <v>70</v>
      </c>
      <c r="D19" s="153" t="s">
        <v>153</v>
      </c>
      <c r="E19" s="153"/>
      <c r="F19" s="153"/>
      <c r="G19" s="153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156"/>
      <c r="T19" s="157"/>
      <c r="U19" s="158"/>
      <c r="V19" s="158"/>
      <c r="W19" s="160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7"/>
      <c r="AJ19" s="158"/>
      <c r="AK19" s="158"/>
      <c r="AL19" s="158"/>
      <c r="AM19" s="119"/>
    </row>
    <row r="20" spans="1:39" ht="14.95" customHeight="1" thickBot="1" x14ac:dyDescent="0.35">
      <c r="A20" s="178" t="s">
        <v>127</v>
      </c>
      <c r="B20" s="162" t="s">
        <v>73</v>
      </c>
      <c r="C20" s="147" t="s">
        <v>100</v>
      </c>
      <c r="D20" s="148" t="s">
        <v>12</v>
      </c>
      <c r="E20" s="148"/>
      <c r="F20" s="148"/>
      <c r="G20" s="148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176"/>
      <c r="T20" s="172"/>
      <c r="U20" s="164"/>
      <c r="V20" s="164"/>
      <c r="W20" s="166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72"/>
      <c r="AJ20" s="164"/>
      <c r="AK20" s="164"/>
      <c r="AL20" s="164"/>
      <c r="AM20" s="164"/>
    </row>
    <row r="21" spans="1:39" ht="14.95" customHeight="1" thickBot="1" x14ac:dyDescent="0.35">
      <c r="A21" s="177" t="s">
        <v>248</v>
      </c>
      <c r="B21" s="155" t="s">
        <v>73</v>
      </c>
      <c r="C21" s="152" t="s">
        <v>49</v>
      </c>
      <c r="D21" s="153" t="s">
        <v>153</v>
      </c>
      <c r="E21" s="153"/>
      <c r="F21" s="153"/>
      <c r="G21" s="153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156"/>
      <c r="T21" s="157"/>
      <c r="U21" s="158"/>
      <c r="V21" s="158"/>
      <c r="W21" s="160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7"/>
      <c r="AJ21" s="158"/>
      <c r="AK21" s="158"/>
      <c r="AL21" s="158"/>
      <c r="AM21" s="158"/>
    </row>
    <row r="22" spans="1:39" ht="14.95" customHeight="1" thickBot="1" x14ac:dyDescent="0.35">
      <c r="A22" s="502" t="s">
        <v>249</v>
      </c>
      <c r="B22" s="503" t="s">
        <v>128</v>
      </c>
      <c r="C22" s="504"/>
      <c r="D22" s="505"/>
      <c r="E22" s="505"/>
      <c r="F22" s="505"/>
      <c r="G22" s="505"/>
      <c r="H22" s="506"/>
      <c r="I22" s="506"/>
      <c r="J22" s="506"/>
      <c r="K22" s="506"/>
      <c r="L22" s="506"/>
      <c r="M22" s="506"/>
      <c r="N22" s="506"/>
      <c r="O22" s="506"/>
      <c r="P22" s="506"/>
      <c r="Q22" s="506"/>
      <c r="R22" s="506"/>
      <c r="S22" s="507"/>
      <c r="T22" s="508"/>
      <c r="U22" s="509"/>
      <c r="V22" s="509"/>
      <c r="W22" s="510"/>
      <c r="X22" s="509"/>
      <c r="Y22" s="509"/>
      <c r="Z22" s="509"/>
      <c r="AA22" s="509"/>
      <c r="AB22" s="509"/>
      <c r="AC22" s="509"/>
      <c r="AD22" s="509"/>
      <c r="AE22" s="509"/>
      <c r="AF22" s="509"/>
      <c r="AG22" s="509"/>
      <c r="AH22" s="509"/>
      <c r="AI22" s="508"/>
      <c r="AJ22" s="509"/>
      <c r="AK22" s="509"/>
      <c r="AL22" s="509"/>
      <c r="AM22" s="508"/>
    </row>
    <row r="23" spans="1:39" ht="14.95" customHeight="1" thickBot="1" x14ac:dyDescent="0.3">
      <c r="A23" s="502" t="s">
        <v>250</v>
      </c>
      <c r="B23" s="503" t="s">
        <v>247</v>
      </c>
      <c r="C23" s="504"/>
      <c r="D23" s="505"/>
      <c r="E23" s="505"/>
      <c r="F23" s="505"/>
      <c r="G23" s="505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11"/>
      <c r="T23" s="508"/>
      <c r="U23" s="509"/>
      <c r="V23" s="509"/>
      <c r="W23" s="510"/>
      <c r="X23" s="509"/>
      <c r="Y23" s="509"/>
      <c r="Z23" s="509"/>
      <c r="AA23" s="509"/>
      <c r="AB23" s="509"/>
      <c r="AC23" s="509"/>
      <c r="AD23" s="509"/>
      <c r="AE23" s="509"/>
      <c r="AF23" s="509"/>
      <c r="AG23" s="509"/>
      <c r="AH23" s="509"/>
      <c r="AI23" s="508"/>
      <c r="AJ23" s="509"/>
      <c r="AK23" s="509"/>
      <c r="AL23" s="509"/>
      <c r="AM23" s="508"/>
    </row>
    <row r="24" spans="1:39" ht="14.95" customHeight="1" thickBot="1" x14ac:dyDescent="0.3">
      <c r="A24" s="120"/>
      <c r="B24" s="121"/>
      <c r="C24" s="741" t="s">
        <v>74</v>
      </c>
      <c r="D24" s="742"/>
      <c r="E24" s="743"/>
      <c r="F24" s="122">
        <f t="shared" ref="F24:R24" si="0">SUM(F6:F21)</f>
        <v>533</v>
      </c>
      <c r="G24" s="122">
        <f t="shared" si="0"/>
        <v>279</v>
      </c>
      <c r="H24" s="122">
        <f t="shared" si="0"/>
        <v>13</v>
      </c>
      <c r="I24" s="122">
        <f t="shared" si="0"/>
        <v>0</v>
      </c>
      <c r="J24" s="122">
        <f t="shared" si="0"/>
        <v>83</v>
      </c>
      <c r="K24" s="122">
        <f t="shared" si="0"/>
        <v>58</v>
      </c>
      <c r="L24" s="122">
        <f t="shared" si="0"/>
        <v>0</v>
      </c>
      <c r="M24" s="122">
        <f t="shared" si="0"/>
        <v>0</v>
      </c>
      <c r="N24" s="122">
        <f t="shared" si="0"/>
        <v>5</v>
      </c>
      <c r="O24" s="122">
        <f t="shared" si="0"/>
        <v>0</v>
      </c>
      <c r="P24" s="122">
        <f t="shared" si="0"/>
        <v>8</v>
      </c>
      <c r="Q24" s="122">
        <f t="shared" si="0"/>
        <v>2</v>
      </c>
      <c r="R24" s="122">
        <f t="shared" si="0"/>
        <v>44</v>
      </c>
      <c r="S24" s="123"/>
      <c r="T24" s="123"/>
      <c r="U24" s="124"/>
      <c r="V24" s="124"/>
      <c r="W24" s="125" t="s">
        <v>74</v>
      </c>
      <c r="X24" s="122">
        <f t="shared" ref="X24:AM24" si="1">SUM(X6:X21)</f>
        <v>13</v>
      </c>
      <c r="Y24" s="122">
        <f t="shared" si="1"/>
        <v>13</v>
      </c>
      <c r="Z24" s="122">
        <f t="shared" si="1"/>
        <v>0</v>
      </c>
      <c r="AA24" s="122">
        <f t="shared" si="1"/>
        <v>0</v>
      </c>
      <c r="AB24" s="126">
        <f t="shared" si="1"/>
        <v>6</v>
      </c>
      <c r="AC24" s="126">
        <f t="shared" si="1"/>
        <v>6</v>
      </c>
      <c r="AD24" s="126">
        <f t="shared" si="1"/>
        <v>0</v>
      </c>
      <c r="AE24" s="126">
        <f t="shared" si="1"/>
        <v>0</v>
      </c>
      <c r="AF24" s="127">
        <f t="shared" si="1"/>
        <v>7</v>
      </c>
      <c r="AG24" s="127">
        <f t="shared" si="1"/>
        <v>7</v>
      </c>
      <c r="AH24" s="127">
        <f t="shared" si="1"/>
        <v>0</v>
      </c>
      <c r="AI24" s="127">
        <f t="shared" si="1"/>
        <v>0</v>
      </c>
      <c r="AJ24" s="122">
        <f t="shared" si="1"/>
        <v>0</v>
      </c>
      <c r="AK24" s="122">
        <f t="shared" si="1"/>
        <v>0</v>
      </c>
      <c r="AL24" s="122">
        <f t="shared" si="1"/>
        <v>0</v>
      </c>
      <c r="AM24" s="122">
        <f t="shared" si="1"/>
        <v>0</v>
      </c>
    </row>
    <row r="25" spans="1:39" ht="14.95" customHeight="1" thickBot="1" x14ac:dyDescent="0.3">
      <c r="A25" s="128"/>
      <c r="B25" s="128"/>
      <c r="C25" s="741" t="s">
        <v>75</v>
      </c>
      <c r="D25" s="742"/>
      <c r="E25" s="743"/>
      <c r="F25" s="122">
        <f>F22+F23</f>
        <v>0</v>
      </c>
      <c r="G25" s="122">
        <f>G22+G23</f>
        <v>0</v>
      </c>
      <c r="H25" s="129" t="s">
        <v>42</v>
      </c>
      <c r="I25" s="129" t="s">
        <v>42</v>
      </c>
      <c r="J25" s="122">
        <f t="shared" ref="J25:O25" si="2">J22+J23</f>
        <v>0</v>
      </c>
      <c r="K25" s="122">
        <f t="shared" si="2"/>
        <v>0</v>
      </c>
      <c r="L25" s="122">
        <f t="shared" si="2"/>
        <v>0</v>
      </c>
      <c r="M25" s="122">
        <f t="shared" si="2"/>
        <v>0</v>
      </c>
      <c r="N25" s="122">
        <f t="shared" si="2"/>
        <v>0</v>
      </c>
      <c r="O25" s="122">
        <f t="shared" si="2"/>
        <v>0</v>
      </c>
      <c r="P25" s="129" t="s">
        <v>42</v>
      </c>
      <c r="Q25" s="129" t="s">
        <v>42</v>
      </c>
      <c r="R25" s="122">
        <f>R22+R23</f>
        <v>0</v>
      </c>
      <c r="S25" s="123"/>
      <c r="T25" s="123"/>
      <c r="U25" s="123"/>
      <c r="V25" s="124"/>
      <c r="W25" s="125" t="s">
        <v>75</v>
      </c>
      <c r="X25" s="122">
        <f t="shared" ref="X25:AM25" si="3">X22+X23</f>
        <v>0</v>
      </c>
      <c r="Y25" s="122">
        <f t="shared" si="3"/>
        <v>0</v>
      </c>
      <c r="Z25" s="122">
        <f t="shared" si="3"/>
        <v>0</v>
      </c>
      <c r="AA25" s="122">
        <f t="shared" si="3"/>
        <v>0</v>
      </c>
      <c r="AB25" s="126">
        <f t="shared" si="3"/>
        <v>0</v>
      </c>
      <c r="AC25" s="126">
        <f t="shared" si="3"/>
        <v>0</v>
      </c>
      <c r="AD25" s="126">
        <f t="shared" si="3"/>
        <v>0</v>
      </c>
      <c r="AE25" s="126">
        <f t="shared" si="3"/>
        <v>0</v>
      </c>
      <c r="AF25" s="127">
        <f t="shared" si="3"/>
        <v>0</v>
      </c>
      <c r="AG25" s="127">
        <f t="shared" si="3"/>
        <v>0</v>
      </c>
      <c r="AH25" s="127">
        <f t="shared" si="3"/>
        <v>0</v>
      </c>
      <c r="AI25" s="127">
        <f t="shared" si="3"/>
        <v>0</v>
      </c>
      <c r="AJ25" s="122">
        <f t="shared" si="3"/>
        <v>0</v>
      </c>
      <c r="AK25" s="122">
        <f t="shared" si="3"/>
        <v>0</v>
      </c>
      <c r="AL25" s="122">
        <f t="shared" si="3"/>
        <v>0</v>
      </c>
      <c r="AM25" s="122">
        <f t="shared" si="3"/>
        <v>0</v>
      </c>
    </row>
    <row r="26" spans="1:39" ht="14.95" customHeight="1" thickBot="1" x14ac:dyDescent="0.3">
      <c r="A26" s="128"/>
      <c r="B26" s="128"/>
      <c r="C26" s="741" t="s">
        <v>76</v>
      </c>
      <c r="D26" s="742"/>
      <c r="E26" s="743"/>
      <c r="F26" s="122">
        <f>SUM(F24+F25)</f>
        <v>533</v>
      </c>
      <c r="G26" s="122">
        <f t="shared" ref="G26:R26" si="4">SUM(G24+G25)</f>
        <v>279</v>
      </c>
      <c r="H26" s="122">
        <f>H24</f>
        <v>13</v>
      </c>
      <c r="I26" s="122">
        <f>I24</f>
        <v>0</v>
      </c>
      <c r="J26" s="122">
        <f t="shared" si="4"/>
        <v>83</v>
      </c>
      <c r="K26" s="122">
        <f t="shared" si="4"/>
        <v>58</v>
      </c>
      <c r="L26" s="122">
        <f t="shared" si="4"/>
        <v>0</v>
      </c>
      <c r="M26" s="122">
        <f t="shared" si="4"/>
        <v>0</v>
      </c>
      <c r="N26" s="122">
        <f t="shared" si="4"/>
        <v>5</v>
      </c>
      <c r="O26" s="122">
        <f t="shared" si="4"/>
        <v>0</v>
      </c>
      <c r="P26" s="122">
        <f t="shared" ref="P26:Q26" si="5">P24</f>
        <v>8</v>
      </c>
      <c r="Q26" s="122">
        <f t="shared" si="5"/>
        <v>2</v>
      </c>
      <c r="R26" s="122">
        <f t="shared" si="4"/>
        <v>44</v>
      </c>
      <c r="S26" s="123"/>
      <c r="T26" s="123"/>
      <c r="U26" s="123"/>
      <c r="V26" s="124"/>
      <c r="W26" s="125" t="s">
        <v>76</v>
      </c>
      <c r="X26" s="122">
        <f t="shared" ref="X26:AM26" si="6">SUM(X24+X25)</f>
        <v>13</v>
      </c>
      <c r="Y26" s="122">
        <f t="shared" si="6"/>
        <v>13</v>
      </c>
      <c r="Z26" s="122">
        <f t="shared" si="6"/>
        <v>0</v>
      </c>
      <c r="AA26" s="122">
        <f t="shared" si="6"/>
        <v>0</v>
      </c>
      <c r="AB26" s="126">
        <f t="shared" si="6"/>
        <v>6</v>
      </c>
      <c r="AC26" s="126">
        <f t="shared" si="6"/>
        <v>6</v>
      </c>
      <c r="AD26" s="126">
        <f t="shared" si="6"/>
        <v>0</v>
      </c>
      <c r="AE26" s="126">
        <f t="shared" si="6"/>
        <v>0</v>
      </c>
      <c r="AF26" s="127">
        <f t="shared" si="6"/>
        <v>7</v>
      </c>
      <c r="AG26" s="127">
        <f t="shared" si="6"/>
        <v>7</v>
      </c>
      <c r="AH26" s="127">
        <f t="shared" si="6"/>
        <v>0</v>
      </c>
      <c r="AI26" s="127">
        <f t="shared" si="6"/>
        <v>0</v>
      </c>
      <c r="AJ26" s="122">
        <f t="shared" si="6"/>
        <v>0</v>
      </c>
      <c r="AK26" s="122">
        <f t="shared" si="6"/>
        <v>0</v>
      </c>
      <c r="AL26" s="122">
        <f t="shared" si="6"/>
        <v>0</v>
      </c>
      <c r="AM26" s="122">
        <f t="shared" si="6"/>
        <v>0</v>
      </c>
    </row>
    <row r="27" spans="1:39" ht="14.95" customHeight="1" thickBot="1" x14ac:dyDescent="0.3">
      <c r="A27" s="34"/>
      <c r="B27"/>
      <c r="C27" s="726" t="s">
        <v>441</v>
      </c>
      <c r="D27" s="727"/>
      <c r="E27" s="728"/>
      <c r="F27" s="644">
        <f>SUM(F3:F5)</f>
        <v>69</v>
      </c>
      <c r="G27" s="644">
        <f t="shared" ref="G27:R27" si="7">SUM(G3:G5)</f>
        <v>137</v>
      </c>
      <c r="H27" s="644">
        <f t="shared" si="7"/>
        <v>2</v>
      </c>
      <c r="I27" s="644">
        <f t="shared" si="7"/>
        <v>1</v>
      </c>
      <c r="J27" s="644">
        <f t="shared" si="7"/>
        <v>11</v>
      </c>
      <c r="K27" s="644">
        <f t="shared" si="7"/>
        <v>7</v>
      </c>
      <c r="L27" s="644">
        <f t="shared" si="7"/>
        <v>0</v>
      </c>
      <c r="M27" s="644">
        <f t="shared" si="7"/>
        <v>0</v>
      </c>
      <c r="N27" s="644">
        <f t="shared" si="7"/>
        <v>0</v>
      </c>
      <c r="O27" s="644">
        <f t="shared" si="7"/>
        <v>0</v>
      </c>
      <c r="P27" s="644">
        <f t="shared" si="7"/>
        <v>3</v>
      </c>
      <c r="Q27" s="644">
        <f t="shared" si="7"/>
        <v>0</v>
      </c>
      <c r="R27" s="644">
        <f t="shared" si="7"/>
        <v>23</v>
      </c>
      <c r="S27" s="645"/>
      <c r="T27" s="645"/>
      <c r="U27" s="645"/>
      <c r="V27" s="646"/>
      <c r="W27" s="647" t="s">
        <v>441</v>
      </c>
      <c r="X27" s="644">
        <f t="shared" ref="X27:AM27" si="8">SUM(X3:X5)</f>
        <v>3</v>
      </c>
      <c r="Y27" s="644">
        <f t="shared" si="8"/>
        <v>0</v>
      </c>
      <c r="Z27" s="644">
        <f t="shared" si="8"/>
        <v>0</v>
      </c>
      <c r="AA27" s="644">
        <f t="shared" si="8"/>
        <v>3</v>
      </c>
      <c r="AB27" s="648">
        <f t="shared" si="8"/>
        <v>2</v>
      </c>
      <c r="AC27" s="648">
        <f t="shared" si="8"/>
        <v>0</v>
      </c>
      <c r="AD27" s="648">
        <f t="shared" si="8"/>
        <v>0</v>
      </c>
      <c r="AE27" s="648">
        <f t="shared" si="8"/>
        <v>2</v>
      </c>
      <c r="AF27" s="649">
        <f t="shared" si="8"/>
        <v>1</v>
      </c>
      <c r="AG27" s="649">
        <f t="shared" si="8"/>
        <v>0</v>
      </c>
      <c r="AH27" s="649">
        <f t="shared" si="8"/>
        <v>0</v>
      </c>
      <c r="AI27" s="649">
        <f t="shared" si="8"/>
        <v>1</v>
      </c>
      <c r="AJ27" s="644">
        <f t="shared" si="8"/>
        <v>0</v>
      </c>
      <c r="AK27" s="644">
        <f t="shared" si="8"/>
        <v>0</v>
      </c>
      <c r="AL27" s="644">
        <f t="shared" si="8"/>
        <v>0</v>
      </c>
      <c r="AM27" s="644">
        <f t="shared" si="8"/>
        <v>0</v>
      </c>
    </row>
    <row r="28" spans="1:39" ht="14.95" customHeight="1" thickBot="1" x14ac:dyDescent="0.3">
      <c r="A28" s="501"/>
      <c r="B28"/>
      <c r="C28" s="726" t="s">
        <v>442</v>
      </c>
      <c r="D28" s="727"/>
      <c r="E28" s="728"/>
      <c r="F28" s="644">
        <v>0</v>
      </c>
      <c r="G28" s="644">
        <v>0</v>
      </c>
      <c r="H28" s="644">
        <v>0</v>
      </c>
      <c r="I28" s="644">
        <v>0</v>
      </c>
      <c r="J28" s="644">
        <v>0</v>
      </c>
      <c r="K28" s="644">
        <v>0</v>
      </c>
      <c r="L28" s="644">
        <v>0</v>
      </c>
      <c r="M28" s="644">
        <v>0</v>
      </c>
      <c r="N28" s="644">
        <v>0</v>
      </c>
      <c r="O28" s="644">
        <v>0</v>
      </c>
      <c r="P28" s="644">
        <v>0</v>
      </c>
      <c r="Q28" s="644">
        <v>0</v>
      </c>
      <c r="R28" s="644">
        <v>0</v>
      </c>
      <c r="S28" s="645"/>
      <c r="T28" s="645"/>
      <c r="U28" s="645"/>
      <c r="V28" s="646"/>
      <c r="W28" s="647" t="s">
        <v>442</v>
      </c>
      <c r="X28" s="644">
        <v>0</v>
      </c>
      <c r="Y28" s="644">
        <v>0</v>
      </c>
      <c r="Z28" s="644">
        <v>0</v>
      </c>
      <c r="AA28" s="644">
        <v>0</v>
      </c>
      <c r="AB28" s="648">
        <v>0</v>
      </c>
      <c r="AC28" s="648">
        <v>0</v>
      </c>
      <c r="AD28" s="648">
        <v>0</v>
      </c>
      <c r="AE28" s="648">
        <v>0</v>
      </c>
      <c r="AF28" s="649">
        <v>0</v>
      </c>
      <c r="AG28" s="649">
        <v>0</v>
      </c>
      <c r="AH28" s="649">
        <v>0</v>
      </c>
      <c r="AI28" s="649">
        <v>0</v>
      </c>
      <c r="AJ28" s="644">
        <v>0</v>
      </c>
      <c r="AK28" s="644">
        <v>0</v>
      </c>
      <c r="AL28" s="644">
        <v>0</v>
      </c>
      <c r="AM28" s="644">
        <v>0</v>
      </c>
    </row>
    <row r="29" spans="1:39" ht="14.95" customHeight="1" thickBot="1" x14ac:dyDescent="0.35">
      <c r="A29" s="475"/>
      <c r="B29"/>
      <c r="C29" s="726" t="s">
        <v>440</v>
      </c>
      <c r="D29" s="727"/>
      <c r="E29" s="728"/>
      <c r="F29" s="644">
        <f>SUM(F27+F28)</f>
        <v>69</v>
      </c>
      <c r="G29" s="644">
        <f t="shared" ref="G29:R29" si="9">SUM(G27+G28)</f>
        <v>137</v>
      </c>
      <c r="H29" s="644">
        <f t="shared" si="9"/>
        <v>2</v>
      </c>
      <c r="I29" s="644">
        <f t="shared" si="9"/>
        <v>1</v>
      </c>
      <c r="J29" s="644">
        <f t="shared" si="9"/>
        <v>11</v>
      </c>
      <c r="K29" s="644">
        <f t="shared" si="9"/>
        <v>7</v>
      </c>
      <c r="L29" s="644">
        <f t="shared" si="9"/>
        <v>0</v>
      </c>
      <c r="M29" s="644">
        <f t="shared" si="9"/>
        <v>0</v>
      </c>
      <c r="N29" s="644">
        <f t="shared" si="9"/>
        <v>0</v>
      </c>
      <c r="O29" s="644">
        <f t="shared" si="9"/>
        <v>0</v>
      </c>
      <c r="P29" s="644">
        <f t="shared" si="9"/>
        <v>3</v>
      </c>
      <c r="Q29" s="644">
        <f t="shared" si="9"/>
        <v>0</v>
      </c>
      <c r="R29" s="644">
        <f t="shared" si="9"/>
        <v>23</v>
      </c>
      <c r="S29" s="645"/>
      <c r="T29" s="645"/>
      <c r="U29" s="645"/>
      <c r="V29" s="646"/>
      <c r="W29" s="647" t="s">
        <v>440</v>
      </c>
      <c r="X29" s="644">
        <f t="shared" ref="X29:AM29" si="10">SUM(X27+X28)</f>
        <v>3</v>
      </c>
      <c r="Y29" s="644">
        <f t="shared" si="10"/>
        <v>0</v>
      </c>
      <c r="Z29" s="644">
        <f t="shared" si="10"/>
        <v>0</v>
      </c>
      <c r="AA29" s="644">
        <f t="shared" si="10"/>
        <v>3</v>
      </c>
      <c r="AB29" s="648">
        <f t="shared" si="10"/>
        <v>2</v>
      </c>
      <c r="AC29" s="648">
        <f t="shared" si="10"/>
        <v>0</v>
      </c>
      <c r="AD29" s="648">
        <f t="shared" si="10"/>
        <v>0</v>
      </c>
      <c r="AE29" s="648">
        <f t="shared" si="10"/>
        <v>2</v>
      </c>
      <c r="AF29" s="649">
        <f t="shared" si="10"/>
        <v>1</v>
      </c>
      <c r="AG29" s="649">
        <f t="shared" si="10"/>
        <v>0</v>
      </c>
      <c r="AH29" s="649">
        <f t="shared" si="10"/>
        <v>0</v>
      </c>
      <c r="AI29" s="649">
        <f t="shared" si="10"/>
        <v>1</v>
      </c>
      <c r="AJ29" s="644">
        <f t="shared" si="10"/>
        <v>0</v>
      </c>
      <c r="AK29" s="644">
        <f t="shared" si="10"/>
        <v>0</v>
      </c>
      <c r="AL29" s="644">
        <f t="shared" si="10"/>
        <v>0</v>
      </c>
      <c r="AM29" s="644">
        <f t="shared" si="10"/>
        <v>0</v>
      </c>
    </row>
    <row r="30" spans="1:39" ht="14.95" customHeight="1" thickBot="1" x14ac:dyDescent="0.3">
      <c r="A30" s="34"/>
      <c r="B30"/>
      <c r="C30" s="744" t="s">
        <v>29</v>
      </c>
      <c r="D30" s="761"/>
      <c r="E30" s="762"/>
      <c r="F30" s="57">
        <f>SUM(F3:F23)</f>
        <v>602</v>
      </c>
      <c r="G30" s="57">
        <f t="shared" ref="G30:R30" si="11">SUM(G3:G23)</f>
        <v>416</v>
      </c>
      <c r="H30" s="57">
        <f t="shared" si="11"/>
        <v>15</v>
      </c>
      <c r="I30" s="57">
        <f t="shared" si="11"/>
        <v>1</v>
      </c>
      <c r="J30" s="57">
        <f t="shared" si="11"/>
        <v>94</v>
      </c>
      <c r="K30" s="57">
        <f t="shared" si="11"/>
        <v>65</v>
      </c>
      <c r="L30" s="57">
        <f t="shared" si="11"/>
        <v>0</v>
      </c>
      <c r="M30" s="57">
        <f t="shared" si="11"/>
        <v>0</v>
      </c>
      <c r="N30" s="57">
        <f t="shared" si="11"/>
        <v>5</v>
      </c>
      <c r="O30" s="57">
        <f t="shared" si="11"/>
        <v>0</v>
      </c>
      <c r="P30" s="57">
        <f t="shared" si="11"/>
        <v>11</v>
      </c>
      <c r="Q30" s="57">
        <f t="shared" si="11"/>
        <v>2</v>
      </c>
      <c r="R30" s="57">
        <f t="shared" si="11"/>
        <v>67</v>
      </c>
      <c r="S30" s="40"/>
      <c r="T30" s="40"/>
      <c r="U30" s="41"/>
      <c r="V30" s="41"/>
      <c r="W30" s="65" t="s">
        <v>29</v>
      </c>
      <c r="X30" s="57">
        <f t="shared" ref="X30:AM30" si="12">SUM(X3:X23)</f>
        <v>16</v>
      </c>
      <c r="Y30" s="57">
        <f t="shared" si="12"/>
        <v>13</v>
      </c>
      <c r="Z30" s="57">
        <f t="shared" si="12"/>
        <v>0</v>
      </c>
      <c r="AA30" s="57">
        <f t="shared" si="12"/>
        <v>3</v>
      </c>
      <c r="AB30" s="19">
        <f t="shared" si="12"/>
        <v>8</v>
      </c>
      <c r="AC30" s="19">
        <f t="shared" si="12"/>
        <v>6</v>
      </c>
      <c r="AD30" s="19">
        <f t="shared" si="12"/>
        <v>0</v>
      </c>
      <c r="AE30" s="19">
        <f t="shared" si="12"/>
        <v>2</v>
      </c>
      <c r="AF30" s="56">
        <f t="shared" si="12"/>
        <v>8</v>
      </c>
      <c r="AG30" s="56">
        <f t="shared" si="12"/>
        <v>7</v>
      </c>
      <c r="AH30" s="56">
        <f t="shared" si="12"/>
        <v>0</v>
      </c>
      <c r="AI30" s="56">
        <f t="shared" si="12"/>
        <v>1</v>
      </c>
      <c r="AJ30" s="57">
        <f t="shared" si="12"/>
        <v>0</v>
      </c>
      <c r="AK30" s="57">
        <f t="shared" si="12"/>
        <v>0</v>
      </c>
      <c r="AL30" s="57">
        <f t="shared" si="12"/>
        <v>0</v>
      </c>
      <c r="AM30" s="57">
        <f t="shared" si="12"/>
        <v>0</v>
      </c>
    </row>
    <row r="31" spans="1:39" x14ac:dyDescent="0.25">
      <c r="A31" s="612" t="s">
        <v>376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x14ac:dyDescent="0.25">
      <c r="A32" s="585" t="s">
        <v>339</v>
      </c>
      <c r="B32"/>
      <c r="C32"/>
    </row>
    <row r="33" spans="1:3" ht="16.3" x14ac:dyDescent="0.3">
      <c r="A33" s="475" t="s">
        <v>47</v>
      </c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</sheetData>
  <mergeCells count="18">
    <mergeCell ref="X1:AA1"/>
    <mergeCell ref="C27:E27"/>
    <mergeCell ref="C28:E28"/>
    <mergeCell ref="C29:E29"/>
    <mergeCell ref="AO1:AP1"/>
    <mergeCell ref="AB1:AE1"/>
    <mergeCell ref="AF1:AI1"/>
    <mergeCell ref="AJ1:AM1"/>
    <mergeCell ref="H1:I1"/>
    <mergeCell ref="J1:M1"/>
    <mergeCell ref="N1:O1"/>
    <mergeCell ref="P1:R1"/>
    <mergeCell ref="C30:E30"/>
    <mergeCell ref="C25:E25"/>
    <mergeCell ref="C26:E26"/>
    <mergeCell ref="C24:E24"/>
    <mergeCell ref="A1:D1"/>
    <mergeCell ref="E1:G1"/>
  </mergeCells>
  <pageMargins left="0.7" right="0.7" top="0.75" bottom="0.75" header="0.3" footer="0.3"/>
  <pageSetup paperSize="9" orientation="portrait" r:id="rId1"/>
  <ignoredErrors>
    <ignoredError sqref="S3:S4 S17:S18" twoDigitTextYear="1"/>
    <ignoredError sqref="F24:AM27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C33A-7CD1-4060-806D-385F12501560}">
  <dimension ref="A1:AP36"/>
  <sheetViews>
    <sheetView zoomScale="90" zoomScaleNormal="90" workbookViewId="0">
      <pane ySplit="2" topLeftCell="A3" activePane="bottomLeft" state="frozen"/>
      <selection pane="bottomLeft" activeCell="S21" sqref="S21:W21"/>
    </sheetView>
  </sheetViews>
  <sheetFormatPr defaultRowHeight="14.3" x14ac:dyDescent="0.25"/>
  <cols>
    <col min="1" max="1" width="9.75" customWidth="1"/>
    <col min="2" max="2" width="5.75" customWidth="1"/>
    <col min="3" max="3" width="13.625" customWidth="1"/>
    <col min="4" max="18" width="3.75" customWidth="1"/>
    <col min="19" max="19" width="6.5" bestFit="1" customWidth="1"/>
    <col min="20" max="20" width="18" bestFit="1" customWidth="1"/>
    <col min="21" max="21" width="18.875" bestFit="1" customWidth="1"/>
    <col min="22" max="22" width="18.5" bestFit="1" customWidth="1"/>
    <col min="23" max="23" width="16.25" bestFit="1" customWidth="1"/>
    <col min="24" max="39" width="3.75" customWidth="1"/>
    <col min="40" max="40" width="1.625" customWidth="1"/>
    <col min="41" max="41" width="12.75" bestFit="1" customWidth="1"/>
  </cols>
  <sheetData>
    <row r="1" spans="1:42" ht="14.95" customHeight="1" thickBot="1" x14ac:dyDescent="0.3">
      <c r="A1" s="779" t="s">
        <v>235</v>
      </c>
      <c r="B1" s="780"/>
      <c r="C1" s="780"/>
      <c r="D1" s="781"/>
      <c r="E1" s="782" t="s">
        <v>36</v>
      </c>
      <c r="F1" s="783"/>
      <c r="G1" s="784"/>
      <c r="H1" s="782" t="s">
        <v>35</v>
      </c>
      <c r="I1" s="784"/>
      <c r="J1" s="785" t="s">
        <v>16</v>
      </c>
      <c r="K1" s="786"/>
      <c r="L1" s="786"/>
      <c r="M1" s="787"/>
      <c r="N1" s="785" t="s">
        <v>17</v>
      </c>
      <c r="O1" s="787"/>
      <c r="P1" s="785" t="s">
        <v>38</v>
      </c>
      <c r="Q1" s="786"/>
      <c r="R1" s="787"/>
      <c r="S1" s="232" t="s">
        <v>18</v>
      </c>
      <c r="T1" s="233" t="s">
        <v>19</v>
      </c>
      <c r="U1" s="234" t="s">
        <v>20</v>
      </c>
      <c r="V1" s="235" t="s">
        <v>44</v>
      </c>
      <c r="W1" s="235" t="s">
        <v>45</v>
      </c>
      <c r="X1" s="776" t="s">
        <v>30</v>
      </c>
      <c r="Y1" s="777"/>
      <c r="Z1" s="777"/>
      <c r="AA1" s="778"/>
      <c r="AB1" s="776" t="s">
        <v>31</v>
      </c>
      <c r="AC1" s="777"/>
      <c r="AD1" s="777"/>
      <c r="AE1" s="778"/>
      <c r="AF1" s="776" t="s">
        <v>32</v>
      </c>
      <c r="AG1" s="777"/>
      <c r="AH1" s="777"/>
      <c r="AI1" s="777"/>
      <c r="AJ1" s="776" t="s">
        <v>48</v>
      </c>
      <c r="AK1" s="777"/>
      <c r="AL1" s="777"/>
      <c r="AM1" s="778"/>
      <c r="AO1" s="446" t="s">
        <v>201</v>
      </c>
      <c r="AP1" s="447"/>
    </row>
    <row r="2" spans="1:42" ht="14.95" customHeight="1" thickBot="1" x14ac:dyDescent="0.3">
      <c r="A2" s="236" t="s">
        <v>28</v>
      </c>
      <c r="B2" s="237" t="s">
        <v>27</v>
      </c>
      <c r="C2" s="238" t="s">
        <v>26</v>
      </c>
      <c r="D2" s="238" t="s">
        <v>37</v>
      </c>
      <c r="E2" s="239" t="s">
        <v>25</v>
      </c>
      <c r="F2" s="239" t="s">
        <v>11</v>
      </c>
      <c r="G2" s="239" t="s">
        <v>12</v>
      </c>
      <c r="H2" s="240" t="s">
        <v>33</v>
      </c>
      <c r="I2" s="240" t="s">
        <v>34</v>
      </c>
      <c r="J2" s="240" t="s">
        <v>21</v>
      </c>
      <c r="K2" s="240" t="s">
        <v>22</v>
      </c>
      <c r="L2" s="240" t="s">
        <v>9</v>
      </c>
      <c r="M2" s="240" t="s">
        <v>23</v>
      </c>
      <c r="N2" s="240" t="s">
        <v>24</v>
      </c>
      <c r="O2" s="240" t="s">
        <v>25</v>
      </c>
      <c r="P2" s="240" t="s">
        <v>33</v>
      </c>
      <c r="Q2" s="240" t="s">
        <v>34</v>
      </c>
      <c r="R2" s="240" t="s">
        <v>21</v>
      </c>
      <c r="S2" s="241"/>
      <c r="T2" s="242"/>
      <c r="U2" s="241"/>
      <c r="V2" s="243"/>
      <c r="W2" s="243"/>
      <c r="X2" s="244" t="s">
        <v>7</v>
      </c>
      <c r="Y2" s="244" t="s">
        <v>8</v>
      </c>
      <c r="Z2" s="244" t="s">
        <v>9</v>
      </c>
      <c r="AA2" s="244" t="s">
        <v>10</v>
      </c>
      <c r="AB2" s="244" t="s">
        <v>7</v>
      </c>
      <c r="AC2" s="244" t="s">
        <v>8</v>
      </c>
      <c r="AD2" s="244" t="s">
        <v>9</v>
      </c>
      <c r="AE2" s="244" t="s">
        <v>10</v>
      </c>
      <c r="AF2" s="244" t="s">
        <v>7</v>
      </c>
      <c r="AG2" s="244" t="s">
        <v>8</v>
      </c>
      <c r="AH2" s="244" t="s">
        <v>9</v>
      </c>
      <c r="AI2" s="244" t="s">
        <v>10</v>
      </c>
      <c r="AJ2" s="244" t="s">
        <v>7</v>
      </c>
      <c r="AK2" s="244" t="s">
        <v>8</v>
      </c>
      <c r="AL2" s="244" t="s">
        <v>9</v>
      </c>
      <c r="AM2" s="244" t="s">
        <v>10</v>
      </c>
      <c r="AO2" s="319" t="s">
        <v>197</v>
      </c>
      <c r="AP2" s="1"/>
    </row>
    <row r="3" spans="1:42" ht="14.95" customHeight="1" thickBot="1" x14ac:dyDescent="0.3">
      <c r="A3" s="552" t="s">
        <v>270</v>
      </c>
      <c r="B3" s="530" t="s">
        <v>260</v>
      </c>
      <c r="C3" s="530" t="s">
        <v>4</v>
      </c>
      <c r="D3" s="531" t="s">
        <v>271</v>
      </c>
      <c r="E3" s="531" t="s">
        <v>8</v>
      </c>
      <c r="F3" s="531">
        <v>61</v>
      </c>
      <c r="G3" s="531">
        <v>29</v>
      </c>
      <c r="H3" s="601">
        <v>1</v>
      </c>
      <c r="I3" s="601">
        <v>0</v>
      </c>
      <c r="J3" s="601">
        <v>9</v>
      </c>
      <c r="K3" s="601">
        <v>8</v>
      </c>
      <c r="L3" s="601">
        <v>0</v>
      </c>
      <c r="M3" s="601">
        <v>0</v>
      </c>
      <c r="N3" s="601">
        <v>0</v>
      </c>
      <c r="O3" s="601">
        <v>0</v>
      </c>
      <c r="P3" s="601">
        <v>1</v>
      </c>
      <c r="Q3" s="601">
        <v>0</v>
      </c>
      <c r="R3" s="601">
        <v>5</v>
      </c>
      <c r="S3" s="555" t="s">
        <v>272</v>
      </c>
      <c r="T3" s="532"/>
      <c r="U3" s="533"/>
      <c r="V3" s="534"/>
      <c r="W3" s="534"/>
      <c r="X3" s="618">
        <v>1</v>
      </c>
      <c r="Y3" s="618">
        <v>1</v>
      </c>
      <c r="Z3" s="618">
        <v>0</v>
      </c>
      <c r="AA3" s="619">
        <v>0</v>
      </c>
      <c r="AB3" s="618">
        <v>1</v>
      </c>
      <c r="AC3" s="618">
        <v>1</v>
      </c>
      <c r="AD3" s="618">
        <v>0</v>
      </c>
      <c r="AE3" s="619">
        <v>0</v>
      </c>
      <c r="AF3" s="618">
        <v>0</v>
      </c>
      <c r="AG3" s="618">
        <v>0</v>
      </c>
      <c r="AH3" s="618">
        <v>0</v>
      </c>
      <c r="AI3" s="620">
        <v>0</v>
      </c>
      <c r="AJ3" s="618">
        <v>0</v>
      </c>
      <c r="AK3" s="618">
        <v>0</v>
      </c>
      <c r="AL3" s="618">
        <v>0</v>
      </c>
      <c r="AM3" s="620">
        <v>0</v>
      </c>
      <c r="AO3" s="435" t="s">
        <v>64</v>
      </c>
      <c r="AP3" s="436">
        <f>HarlequinsPWRhistplayed</f>
        <v>156</v>
      </c>
    </row>
    <row r="4" spans="1:42" ht="14.95" customHeight="1" thickBot="1" x14ac:dyDescent="0.35">
      <c r="A4" s="553" t="s">
        <v>273</v>
      </c>
      <c r="B4" s="530" t="s">
        <v>260</v>
      </c>
      <c r="C4" s="530" t="s">
        <v>100</v>
      </c>
      <c r="D4" s="531" t="s">
        <v>251</v>
      </c>
      <c r="E4" s="531" t="s">
        <v>8</v>
      </c>
      <c r="F4" s="531">
        <v>38</v>
      </c>
      <c r="G4" s="531">
        <v>22</v>
      </c>
      <c r="H4" s="601">
        <v>1</v>
      </c>
      <c r="I4" s="601">
        <v>0</v>
      </c>
      <c r="J4" s="601">
        <v>6</v>
      </c>
      <c r="K4" s="601">
        <v>4</v>
      </c>
      <c r="L4" s="601">
        <v>0</v>
      </c>
      <c r="M4" s="601">
        <v>0</v>
      </c>
      <c r="N4" s="601">
        <v>1</v>
      </c>
      <c r="O4" s="601">
        <v>0</v>
      </c>
      <c r="P4" s="601">
        <v>1</v>
      </c>
      <c r="Q4" s="601">
        <v>0</v>
      </c>
      <c r="R4" s="601">
        <v>4</v>
      </c>
      <c r="S4" s="556" t="s">
        <v>274</v>
      </c>
      <c r="T4" s="532" t="s">
        <v>282</v>
      </c>
      <c r="U4" s="533" t="s">
        <v>50</v>
      </c>
      <c r="V4" s="534" t="s">
        <v>283</v>
      </c>
      <c r="W4" s="534" t="s">
        <v>284</v>
      </c>
      <c r="X4" s="618">
        <v>1</v>
      </c>
      <c r="Y4" s="618">
        <v>1</v>
      </c>
      <c r="Z4" s="618">
        <v>0</v>
      </c>
      <c r="AA4" s="619">
        <v>0</v>
      </c>
      <c r="AB4" s="618">
        <v>1</v>
      </c>
      <c r="AC4" s="618">
        <v>1</v>
      </c>
      <c r="AD4" s="618">
        <v>0</v>
      </c>
      <c r="AE4" s="619">
        <v>0</v>
      </c>
      <c r="AF4" s="618">
        <v>0</v>
      </c>
      <c r="AG4" s="618">
        <v>0</v>
      </c>
      <c r="AH4" s="618">
        <v>0</v>
      </c>
      <c r="AI4" s="620">
        <v>0</v>
      </c>
      <c r="AJ4" s="618">
        <v>0</v>
      </c>
      <c r="AK4" s="618">
        <v>0</v>
      </c>
      <c r="AL4" s="618">
        <v>0</v>
      </c>
      <c r="AM4" s="620">
        <v>0</v>
      </c>
      <c r="AO4" s="373" t="s">
        <v>65</v>
      </c>
      <c r="AP4" s="437">
        <f>HarlequinsPWRhistwon</f>
        <v>102</v>
      </c>
    </row>
    <row r="5" spans="1:42" ht="14.95" customHeight="1" thickBot="1" x14ac:dyDescent="0.35">
      <c r="A5" s="550" t="s">
        <v>262</v>
      </c>
      <c r="B5" s="541" t="s">
        <v>260</v>
      </c>
      <c r="C5" s="541" t="s">
        <v>63</v>
      </c>
      <c r="D5" s="542" t="s">
        <v>275</v>
      </c>
      <c r="E5" s="542" t="s">
        <v>8</v>
      </c>
      <c r="F5" s="542">
        <v>41</v>
      </c>
      <c r="G5" s="542">
        <v>24</v>
      </c>
      <c r="H5" s="602">
        <v>1</v>
      </c>
      <c r="I5" s="602">
        <v>0</v>
      </c>
      <c r="J5" s="602">
        <v>7</v>
      </c>
      <c r="K5" s="602">
        <v>3</v>
      </c>
      <c r="L5" s="602">
        <v>0</v>
      </c>
      <c r="M5" s="602">
        <v>0</v>
      </c>
      <c r="N5" s="602">
        <v>2</v>
      </c>
      <c r="O5" s="602">
        <v>0</v>
      </c>
      <c r="P5" s="602">
        <v>1</v>
      </c>
      <c r="Q5" s="602">
        <v>0</v>
      </c>
      <c r="R5" s="602">
        <v>4</v>
      </c>
      <c r="S5" s="554" t="s">
        <v>277</v>
      </c>
      <c r="T5" s="544" t="s">
        <v>285</v>
      </c>
      <c r="U5" s="545" t="s">
        <v>50</v>
      </c>
      <c r="V5" s="546" t="s">
        <v>286</v>
      </c>
      <c r="W5" s="546" t="s">
        <v>295</v>
      </c>
      <c r="X5" s="615">
        <v>1</v>
      </c>
      <c r="Y5" s="615">
        <v>1</v>
      </c>
      <c r="Z5" s="615">
        <v>0</v>
      </c>
      <c r="AA5" s="616">
        <v>0</v>
      </c>
      <c r="AB5" s="615">
        <v>0</v>
      </c>
      <c r="AC5" s="615">
        <v>0</v>
      </c>
      <c r="AD5" s="615">
        <v>0</v>
      </c>
      <c r="AE5" s="616">
        <v>0</v>
      </c>
      <c r="AF5" s="615">
        <v>1</v>
      </c>
      <c r="AG5" s="615">
        <v>1</v>
      </c>
      <c r="AH5" s="615">
        <v>0</v>
      </c>
      <c r="AI5" s="617">
        <v>0</v>
      </c>
      <c r="AJ5" s="615">
        <v>0</v>
      </c>
      <c r="AK5" s="615">
        <v>0</v>
      </c>
      <c r="AL5" s="615">
        <v>0</v>
      </c>
      <c r="AM5" s="617">
        <v>0</v>
      </c>
      <c r="AO5" s="373" t="s">
        <v>192</v>
      </c>
      <c r="AP5" s="437">
        <f>HarlequinsPWRhistdrawn</f>
        <v>5</v>
      </c>
    </row>
    <row r="6" spans="1:42" ht="14.95" customHeight="1" thickBot="1" x14ac:dyDescent="0.35">
      <c r="A6" s="553" t="s">
        <v>264</v>
      </c>
      <c r="B6" s="530" t="s">
        <v>265</v>
      </c>
      <c r="C6" s="530" t="s">
        <v>49</v>
      </c>
      <c r="D6" s="531" t="s">
        <v>153</v>
      </c>
      <c r="E6" s="531" t="s">
        <v>8</v>
      </c>
      <c r="F6" s="531">
        <v>41</v>
      </c>
      <c r="G6" s="531">
        <v>36</v>
      </c>
      <c r="H6" s="601" t="s">
        <v>42</v>
      </c>
      <c r="I6" s="601" t="s">
        <v>42</v>
      </c>
      <c r="J6" s="601">
        <v>6</v>
      </c>
      <c r="K6" s="601">
        <v>4</v>
      </c>
      <c r="L6" s="601">
        <v>0</v>
      </c>
      <c r="M6" s="601">
        <v>1</v>
      </c>
      <c r="N6" s="601">
        <v>0</v>
      </c>
      <c r="O6" s="601">
        <v>0</v>
      </c>
      <c r="P6" s="601" t="s">
        <v>42</v>
      </c>
      <c r="Q6" s="601" t="s">
        <v>42</v>
      </c>
      <c r="R6" s="601">
        <v>6</v>
      </c>
      <c r="S6" s="539" t="s">
        <v>278</v>
      </c>
      <c r="T6" s="532" t="s">
        <v>294</v>
      </c>
      <c r="U6" s="533" t="s">
        <v>50</v>
      </c>
      <c r="V6" s="534" t="s">
        <v>287</v>
      </c>
      <c r="W6" s="534" t="s">
        <v>288</v>
      </c>
      <c r="X6" s="618">
        <v>1</v>
      </c>
      <c r="Y6" s="618">
        <v>1</v>
      </c>
      <c r="Z6" s="618">
        <v>0</v>
      </c>
      <c r="AA6" s="619">
        <v>0</v>
      </c>
      <c r="AB6" s="618">
        <v>1</v>
      </c>
      <c r="AC6" s="618">
        <v>1</v>
      </c>
      <c r="AD6" s="618">
        <v>0</v>
      </c>
      <c r="AE6" s="619">
        <v>0</v>
      </c>
      <c r="AF6" s="618">
        <v>0</v>
      </c>
      <c r="AG6" s="618">
        <v>0</v>
      </c>
      <c r="AH6" s="618">
        <v>0</v>
      </c>
      <c r="AI6" s="620">
        <v>0</v>
      </c>
      <c r="AJ6" s="618">
        <v>0</v>
      </c>
      <c r="AK6" s="618">
        <v>0</v>
      </c>
      <c r="AL6" s="618">
        <v>0</v>
      </c>
      <c r="AM6" s="620">
        <v>0</v>
      </c>
      <c r="AO6" s="373" t="s">
        <v>66</v>
      </c>
      <c r="AP6" s="437">
        <f>HarlequinsPWRhistlost</f>
        <v>49</v>
      </c>
    </row>
    <row r="7" spans="1:42" ht="14.95" customHeight="1" thickBot="1" x14ac:dyDescent="0.3">
      <c r="A7" s="550" t="s">
        <v>267</v>
      </c>
      <c r="B7" s="541" t="s">
        <v>268</v>
      </c>
      <c r="C7" s="541" t="s">
        <v>1</v>
      </c>
      <c r="D7" s="542" t="s">
        <v>12</v>
      </c>
      <c r="E7" s="542" t="s">
        <v>10</v>
      </c>
      <c r="F7" s="542">
        <v>33</v>
      </c>
      <c r="G7" s="542">
        <v>43</v>
      </c>
      <c r="H7" s="602" t="s">
        <v>42</v>
      </c>
      <c r="I7" s="602" t="s">
        <v>42</v>
      </c>
      <c r="J7" s="602">
        <v>5</v>
      </c>
      <c r="K7" s="602">
        <v>4</v>
      </c>
      <c r="L7" s="602">
        <v>0</v>
      </c>
      <c r="M7" s="602">
        <v>0</v>
      </c>
      <c r="N7" s="602">
        <v>1</v>
      </c>
      <c r="O7" s="602">
        <v>0</v>
      </c>
      <c r="P7" s="602" t="s">
        <v>42</v>
      </c>
      <c r="Q7" s="602" t="s">
        <v>42</v>
      </c>
      <c r="R7" s="602">
        <v>6</v>
      </c>
      <c r="S7" s="557" t="s">
        <v>279</v>
      </c>
      <c r="T7" s="544" t="s">
        <v>289</v>
      </c>
      <c r="U7" s="545" t="s">
        <v>50</v>
      </c>
      <c r="V7" s="546" t="s">
        <v>444</v>
      </c>
      <c r="W7" s="546" t="s">
        <v>290</v>
      </c>
      <c r="X7" s="615">
        <v>1</v>
      </c>
      <c r="Y7" s="615">
        <v>0</v>
      </c>
      <c r="Z7" s="615">
        <v>0</v>
      </c>
      <c r="AA7" s="616">
        <v>1</v>
      </c>
      <c r="AB7" s="615">
        <v>0</v>
      </c>
      <c r="AC7" s="615">
        <v>0</v>
      </c>
      <c r="AD7" s="615">
        <v>0</v>
      </c>
      <c r="AE7" s="616">
        <v>0</v>
      </c>
      <c r="AF7" s="615">
        <v>1</v>
      </c>
      <c r="AG7" s="615">
        <v>0</v>
      </c>
      <c r="AH7" s="615">
        <v>0</v>
      </c>
      <c r="AI7" s="617">
        <v>1</v>
      </c>
      <c r="AJ7" s="615">
        <v>0</v>
      </c>
      <c r="AK7" s="615">
        <v>0</v>
      </c>
      <c r="AL7" s="615">
        <v>0</v>
      </c>
      <c r="AM7" s="617">
        <v>0</v>
      </c>
      <c r="AO7" s="373" t="s">
        <v>193</v>
      </c>
      <c r="AP7" s="437">
        <f>HarlequinsPWRhistptsfor</f>
        <v>5289</v>
      </c>
    </row>
    <row r="8" spans="1:42" ht="14.95" customHeight="1" thickBot="1" x14ac:dyDescent="0.3">
      <c r="A8" s="493" t="s">
        <v>253</v>
      </c>
      <c r="B8" s="152" t="s">
        <v>73</v>
      </c>
      <c r="C8" s="152" t="s">
        <v>540</v>
      </c>
      <c r="D8" s="153" t="s">
        <v>153</v>
      </c>
      <c r="E8" s="153" t="s">
        <v>8</v>
      </c>
      <c r="F8" s="153">
        <v>52</v>
      </c>
      <c r="G8" s="153">
        <v>42</v>
      </c>
      <c r="H8" s="454">
        <v>1</v>
      </c>
      <c r="I8" s="454">
        <v>0</v>
      </c>
      <c r="J8" s="454">
        <v>8</v>
      </c>
      <c r="K8" s="454">
        <v>5</v>
      </c>
      <c r="L8" s="454">
        <v>0</v>
      </c>
      <c r="M8" s="454">
        <v>0</v>
      </c>
      <c r="N8" s="454">
        <v>0</v>
      </c>
      <c r="O8" s="454">
        <v>0</v>
      </c>
      <c r="P8" s="454">
        <v>1</v>
      </c>
      <c r="Q8" s="454">
        <v>0</v>
      </c>
      <c r="R8" s="454">
        <v>6</v>
      </c>
      <c r="S8" s="499" t="s">
        <v>281</v>
      </c>
      <c r="T8" s="338" t="s">
        <v>291</v>
      </c>
      <c r="U8" s="339" t="s">
        <v>50</v>
      </c>
      <c r="V8" s="340" t="s">
        <v>284</v>
      </c>
      <c r="W8" s="340" t="s">
        <v>292</v>
      </c>
      <c r="X8" s="621">
        <v>1</v>
      </c>
      <c r="Y8" s="621">
        <v>1</v>
      </c>
      <c r="Z8" s="621">
        <v>0</v>
      </c>
      <c r="AA8" s="622">
        <v>0</v>
      </c>
      <c r="AB8" s="621">
        <v>1</v>
      </c>
      <c r="AC8" s="621">
        <v>1</v>
      </c>
      <c r="AD8" s="621">
        <v>0</v>
      </c>
      <c r="AE8" s="622">
        <v>0</v>
      </c>
      <c r="AF8" s="621">
        <v>0</v>
      </c>
      <c r="AG8" s="621">
        <v>0</v>
      </c>
      <c r="AH8" s="621">
        <v>0</v>
      </c>
      <c r="AI8" s="623">
        <v>0</v>
      </c>
      <c r="AJ8" s="621">
        <v>0</v>
      </c>
      <c r="AK8" s="621">
        <v>0</v>
      </c>
      <c r="AL8" s="621">
        <v>0</v>
      </c>
      <c r="AM8" s="623">
        <v>0</v>
      </c>
      <c r="AO8" s="373" t="s">
        <v>194</v>
      </c>
      <c r="AP8" s="437">
        <f>HarlequinsPWRhistptsaga</f>
        <v>3066</v>
      </c>
    </row>
    <row r="9" spans="1:42" ht="14.95" customHeight="1" thickBot="1" x14ac:dyDescent="0.3">
      <c r="A9" s="495" t="s">
        <v>157</v>
      </c>
      <c r="B9" s="147" t="s">
        <v>73</v>
      </c>
      <c r="C9" s="147" t="s">
        <v>1</v>
      </c>
      <c r="D9" s="148" t="s">
        <v>12</v>
      </c>
      <c r="E9" s="148" t="s">
        <v>10</v>
      </c>
      <c r="F9" s="148">
        <v>10</v>
      </c>
      <c r="G9" s="148">
        <v>47</v>
      </c>
      <c r="H9" s="453">
        <v>0</v>
      </c>
      <c r="I9" s="453">
        <v>0</v>
      </c>
      <c r="J9" s="453">
        <v>2</v>
      </c>
      <c r="K9" s="453">
        <v>0</v>
      </c>
      <c r="L9" s="453">
        <v>0</v>
      </c>
      <c r="M9" s="453">
        <v>0</v>
      </c>
      <c r="N9" s="453">
        <v>0</v>
      </c>
      <c r="O9" s="453">
        <v>0</v>
      </c>
      <c r="P9" s="453">
        <v>1</v>
      </c>
      <c r="Q9" s="453">
        <v>0</v>
      </c>
      <c r="R9" s="453">
        <v>7</v>
      </c>
      <c r="S9" s="163" t="s">
        <v>364</v>
      </c>
      <c r="T9" s="149" t="s">
        <v>346</v>
      </c>
      <c r="U9" s="150" t="s">
        <v>347</v>
      </c>
      <c r="V9" s="151" t="s">
        <v>282</v>
      </c>
      <c r="W9" s="151" t="s">
        <v>348</v>
      </c>
      <c r="X9" s="624">
        <v>1</v>
      </c>
      <c r="Y9" s="624">
        <v>0</v>
      </c>
      <c r="Z9" s="624">
        <v>0</v>
      </c>
      <c r="AA9" s="625">
        <v>1</v>
      </c>
      <c r="AB9" s="624">
        <v>0</v>
      </c>
      <c r="AC9" s="624">
        <v>0</v>
      </c>
      <c r="AD9" s="624">
        <v>0</v>
      </c>
      <c r="AE9" s="625">
        <v>0</v>
      </c>
      <c r="AF9" s="624">
        <v>1</v>
      </c>
      <c r="AG9" s="624">
        <v>0</v>
      </c>
      <c r="AH9" s="624">
        <v>0</v>
      </c>
      <c r="AI9" s="626">
        <v>1</v>
      </c>
      <c r="AJ9" s="624">
        <v>0</v>
      </c>
      <c r="AK9" s="624">
        <v>0</v>
      </c>
      <c r="AL9" s="624">
        <v>0</v>
      </c>
      <c r="AM9" s="626">
        <v>0</v>
      </c>
    </row>
    <row r="10" spans="1:42" ht="14.95" customHeight="1" thickBot="1" x14ac:dyDescent="0.35">
      <c r="A10" s="154" t="s">
        <v>158</v>
      </c>
      <c r="B10" s="155" t="s">
        <v>73</v>
      </c>
      <c r="C10" s="152" t="s">
        <v>63</v>
      </c>
      <c r="D10" s="153" t="s">
        <v>153</v>
      </c>
      <c r="E10" s="153" t="s">
        <v>10</v>
      </c>
      <c r="F10" s="153">
        <v>26</v>
      </c>
      <c r="G10" s="153">
        <v>33</v>
      </c>
      <c r="H10" s="454">
        <v>1</v>
      </c>
      <c r="I10" s="454">
        <v>1</v>
      </c>
      <c r="J10" s="454">
        <v>4</v>
      </c>
      <c r="K10" s="454">
        <v>3</v>
      </c>
      <c r="L10" s="454">
        <v>0</v>
      </c>
      <c r="M10" s="454">
        <v>0</v>
      </c>
      <c r="N10" s="454">
        <v>0</v>
      </c>
      <c r="O10" s="454">
        <v>0</v>
      </c>
      <c r="P10" s="454">
        <v>1</v>
      </c>
      <c r="Q10" s="454">
        <v>0</v>
      </c>
      <c r="R10" s="454">
        <v>5</v>
      </c>
      <c r="S10" s="348" t="s">
        <v>391</v>
      </c>
      <c r="T10" s="157" t="s">
        <v>324</v>
      </c>
      <c r="U10" s="158" t="s">
        <v>289</v>
      </c>
      <c r="V10" s="158" t="s">
        <v>298</v>
      </c>
      <c r="W10" s="158" t="s">
        <v>292</v>
      </c>
      <c r="X10" s="158">
        <v>1</v>
      </c>
      <c r="Y10" s="158">
        <v>0</v>
      </c>
      <c r="Z10" s="158">
        <v>0</v>
      </c>
      <c r="AA10" s="159">
        <v>1</v>
      </c>
      <c r="AB10" s="158">
        <v>1</v>
      </c>
      <c r="AC10" s="158">
        <v>0</v>
      </c>
      <c r="AD10" s="158">
        <v>0</v>
      </c>
      <c r="AE10" s="159">
        <v>1</v>
      </c>
      <c r="AF10" s="158">
        <v>0</v>
      </c>
      <c r="AG10" s="158">
        <v>0</v>
      </c>
      <c r="AH10" s="158">
        <v>0</v>
      </c>
      <c r="AI10" s="160">
        <v>0</v>
      </c>
      <c r="AJ10" s="158">
        <v>0</v>
      </c>
      <c r="AK10" s="158">
        <v>0</v>
      </c>
      <c r="AL10" s="158">
        <v>0</v>
      </c>
      <c r="AM10" s="160">
        <v>0</v>
      </c>
    </row>
    <row r="11" spans="1:42" ht="14.95" customHeight="1" thickBot="1" x14ac:dyDescent="0.3">
      <c r="A11" s="161" t="s">
        <v>252</v>
      </c>
      <c r="B11" s="162" t="s">
        <v>73</v>
      </c>
      <c r="C11" s="147" t="s">
        <v>4</v>
      </c>
      <c r="D11" s="148" t="s">
        <v>12</v>
      </c>
      <c r="E11" s="148" t="s">
        <v>10</v>
      </c>
      <c r="F11" s="148">
        <v>19</v>
      </c>
      <c r="G11" s="148">
        <v>26</v>
      </c>
      <c r="H11" s="453">
        <v>0</v>
      </c>
      <c r="I11" s="453">
        <v>1</v>
      </c>
      <c r="J11" s="453">
        <v>3</v>
      </c>
      <c r="K11" s="453">
        <v>2</v>
      </c>
      <c r="L11" s="453">
        <v>0</v>
      </c>
      <c r="M11" s="453">
        <v>0</v>
      </c>
      <c r="N11" s="453">
        <v>1</v>
      </c>
      <c r="O11" s="453">
        <v>0</v>
      </c>
      <c r="P11" s="453">
        <v>1</v>
      </c>
      <c r="Q11" s="453">
        <v>0</v>
      </c>
      <c r="R11" s="453">
        <v>4</v>
      </c>
      <c r="S11" s="163" t="s">
        <v>305</v>
      </c>
      <c r="T11" s="149" t="s">
        <v>296</v>
      </c>
      <c r="U11" s="150" t="s">
        <v>289</v>
      </c>
      <c r="V11" s="151" t="s">
        <v>291</v>
      </c>
      <c r="W11" s="164" t="s">
        <v>284</v>
      </c>
      <c r="X11" s="164">
        <v>1</v>
      </c>
      <c r="Y11" s="164">
        <v>0</v>
      </c>
      <c r="Z11" s="164">
        <v>0</v>
      </c>
      <c r="AA11" s="165">
        <v>1</v>
      </c>
      <c r="AB11" s="164">
        <v>0</v>
      </c>
      <c r="AC11" s="164">
        <v>0</v>
      </c>
      <c r="AD11" s="164">
        <v>0</v>
      </c>
      <c r="AE11" s="165">
        <v>0</v>
      </c>
      <c r="AF11" s="164">
        <v>1</v>
      </c>
      <c r="AG11" s="164">
        <v>0</v>
      </c>
      <c r="AH11" s="164">
        <v>0</v>
      </c>
      <c r="AI11" s="166">
        <v>1</v>
      </c>
      <c r="AJ11" s="164">
        <v>0</v>
      </c>
      <c r="AK11" s="164">
        <v>0</v>
      </c>
      <c r="AL11" s="164">
        <v>0</v>
      </c>
      <c r="AM11" s="166">
        <v>0</v>
      </c>
    </row>
    <row r="12" spans="1:42" ht="14.95" customHeight="1" thickBot="1" x14ac:dyDescent="0.35">
      <c r="A12" s="161" t="s">
        <v>163</v>
      </c>
      <c r="B12" s="162" t="s">
        <v>73</v>
      </c>
      <c r="C12" s="147" t="s">
        <v>70</v>
      </c>
      <c r="D12" s="148" t="s">
        <v>12</v>
      </c>
      <c r="E12" s="148" t="s">
        <v>8</v>
      </c>
      <c r="F12" s="148">
        <v>56</v>
      </c>
      <c r="G12" s="148">
        <v>28</v>
      </c>
      <c r="H12" s="453">
        <v>1</v>
      </c>
      <c r="I12" s="453">
        <v>0</v>
      </c>
      <c r="J12" s="453">
        <v>8</v>
      </c>
      <c r="K12" s="453">
        <v>8</v>
      </c>
      <c r="L12" s="453">
        <v>0</v>
      </c>
      <c r="M12" s="453">
        <v>0</v>
      </c>
      <c r="N12" s="453">
        <v>1</v>
      </c>
      <c r="O12" s="453">
        <v>0</v>
      </c>
      <c r="P12" s="453">
        <v>1</v>
      </c>
      <c r="Q12" s="453">
        <v>0</v>
      </c>
      <c r="R12" s="453">
        <v>4</v>
      </c>
      <c r="S12" s="176" t="s">
        <v>256</v>
      </c>
      <c r="T12" s="172" t="s">
        <v>291</v>
      </c>
      <c r="U12" s="164" t="s">
        <v>50</v>
      </c>
      <c r="V12" s="164" t="s">
        <v>293</v>
      </c>
      <c r="W12" s="166" t="s">
        <v>295</v>
      </c>
      <c r="X12" s="164">
        <v>1</v>
      </c>
      <c r="Y12" s="164">
        <v>1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4">
        <v>1</v>
      </c>
      <c r="AG12" s="164">
        <v>1</v>
      </c>
      <c r="AH12" s="164">
        <v>0</v>
      </c>
      <c r="AI12" s="172">
        <v>0</v>
      </c>
      <c r="AJ12" s="164">
        <v>0</v>
      </c>
      <c r="AK12" s="164">
        <v>0</v>
      </c>
      <c r="AL12" s="164">
        <v>0</v>
      </c>
      <c r="AM12" s="172">
        <v>0</v>
      </c>
    </row>
    <row r="13" spans="1:42" ht="14.95" customHeight="1" thickBot="1" x14ac:dyDescent="0.3">
      <c r="A13" s="154" t="s">
        <v>244</v>
      </c>
      <c r="B13" s="155" t="s">
        <v>73</v>
      </c>
      <c r="C13" s="152" t="s">
        <v>3</v>
      </c>
      <c r="D13" s="153" t="s">
        <v>153</v>
      </c>
      <c r="E13" s="153" t="s">
        <v>8</v>
      </c>
      <c r="F13" s="153">
        <v>22</v>
      </c>
      <c r="G13" s="153">
        <v>17</v>
      </c>
      <c r="H13" s="454">
        <v>1</v>
      </c>
      <c r="I13" s="454">
        <v>0</v>
      </c>
      <c r="J13" s="454">
        <v>4</v>
      </c>
      <c r="K13" s="454">
        <v>1</v>
      </c>
      <c r="L13" s="454">
        <v>0</v>
      </c>
      <c r="M13" s="454">
        <v>0</v>
      </c>
      <c r="N13" s="454">
        <v>0</v>
      </c>
      <c r="O13" s="454">
        <v>0</v>
      </c>
      <c r="P13" s="454">
        <v>0</v>
      </c>
      <c r="Q13" s="454">
        <v>1</v>
      </c>
      <c r="R13" s="454">
        <v>2</v>
      </c>
      <c r="S13" s="423" t="s">
        <v>534</v>
      </c>
      <c r="T13" s="157" t="s">
        <v>289</v>
      </c>
      <c r="U13" s="158" t="s">
        <v>50</v>
      </c>
      <c r="V13" s="158" t="s">
        <v>524</v>
      </c>
      <c r="W13" s="160" t="s">
        <v>323</v>
      </c>
      <c r="X13" s="158">
        <v>1</v>
      </c>
      <c r="Y13" s="158">
        <v>1</v>
      </c>
      <c r="Z13" s="158">
        <v>0</v>
      </c>
      <c r="AA13" s="158">
        <v>0</v>
      </c>
      <c r="AB13" s="158">
        <v>1</v>
      </c>
      <c r="AC13" s="158">
        <v>1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7">
        <v>0</v>
      </c>
      <c r="AJ13" s="158">
        <v>0</v>
      </c>
      <c r="AK13" s="158">
        <v>0</v>
      </c>
      <c r="AL13" s="158">
        <v>0</v>
      </c>
      <c r="AM13" s="157">
        <v>0</v>
      </c>
    </row>
    <row r="14" spans="1:42" ht="14.95" customHeight="1" thickBot="1" x14ac:dyDescent="0.35">
      <c r="A14" s="154" t="s">
        <v>245</v>
      </c>
      <c r="B14" s="155" t="s">
        <v>73</v>
      </c>
      <c r="C14" s="152" t="s">
        <v>49</v>
      </c>
      <c r="D14" s="153" t="s">
        <v>154</v>
      </c>
      <c r="E14" s="153" t="s">
        <v>8</v>
      </c>
      <c r="F14" s="153">
        <v>38</v>
      </c>
      <c r="G14" s="153">
        <v>12</v>
      </c>
      <c r="H14" s="454">
        <v>1</v>
      </c>
      <c r="I14" s="454">
        <v>0</v>
      </c>
      <c r="J14" s="454">
        <v>6</v>
      </c>
      <c r="K14" s="454">
        <v>4</v>
      </c>
      <c r="L14" s="454">
        <v>0</v>
      </c>
      <c r="M14" s="454">
        <v>0</v>
      </c>
      <c r="N14" s="454">
        <v>1</v>
      </c>
      <c r="O14" s="454">
        <v>0</v>
      </c>
      <c r="P14" s="454">
        <v>0</v>
      </c>
      <c r="Q14" s="454">
        <v>0</v>
      </c>
      <c r="R14" s="454">
        <v>2</v>
      </c>
      <c r="S14" s="358" t="s">
        <v>363</v>
      </c>
      <c r="T14" s="342" t="s">
        <v>537</v>
      </c>
      <c r="U14" s="157" t="s">
        <v>289</v>
      </c>
      <c r="V14" s="158" t="s">
        <v>538</v>
      </c>
      <c r="W14" s="160" t="s">
        <v>296</v>
      </c>
      <c r="X14" s="158">
        <v>1</v>
      </c>
      <c r="Y14" s="158">
        <v>1</v>
      </c>
      <c r="Z14" s="158">
        <v>0</v>
      </c>
      <c r="AA14" s="158">
        <v>0</v>
      </c>
      <c r="AB14" s="158">
        <v>1</v>
      </c>
      <c r="AC14" s="158">
        <v>1</v>
      </c>
      <c r="AD14" s="158">
        <v>0</v>
      </c>
      <c r="AE14" s="158">
        <v>0</v>
      </c>
      <c r="AF14" s="158">
        <v>0</v>
      </c>
      <c r="AG14" s="158">
        <v>0</v>
      </c>
      <c r="AH14" s="158">
        <v>0</v>
      </c>
      <c r="AI14" s="157">
        <v>0</v>
      </c>
      <c r="AJ14" s="158">
        <v>0</v>
      </c>
      <c r="AK14" s="158">
        <v>0</v>
      </c>
      <c r="AL14" s="158">
        <v>0</v>
      </c>
      <c r="AM14" s="157">
        <v>0</v>
      </c>
    </row>
    <row r="15" spans="1:42" ht="14.95" customHeight="1" thickBot="1" x14ac:dyDescent="0.3">
      <c r="A15" s="161" t="s">
        <v>507</v>
      </c>
      <c r="B15" s="162" t="s">
        <v>73</v>
      </c>
      <c r="C15" s="147" t="s">
        <v>100</v>
      </c>
      <c r="D15" s="148" t="s">
        <v>12</v>
      </c>
      <c r="E15" s="148" t="s">
        <v>8</v>
      </c>
      <c r="F15" s="148">
        <v>27</v>
      </c>
      <c r="G15" s="148">
        <v>26</v>
      </c>
      <c r="H15" s="453">
        <v>1</v>
      </c>
      <c r="I15" s="453">
        <v>0</v>
      </c>
      <c r="J15" s="453">
        <v>5</v>
      </c>
      <c r="K15" s="453">
        <v>1</v>
      </c>
      <c r="L15" s="453">
        <v>0</v>
      </c>
      <c r="M15" s="453">
        <v>0</v>
      </c>
      <c r="N15" s="453">
        <v>2</v>
      </c>
      <c r="O15" s="453">
        <v>0</v>
      </c>
      <c r="P15" s="453">
        <v>1</v>
      </c>
      <c r="Q15" s="453">
        <v>1</v>
      </c>
      <c r="R15" s="453">
        <v>4</v>
      </c>
      <c r="S15" s="337" t="s">
        <v>562</v>
      </c>
      <c r="T15" s="172" t="s">
        <v>378</v>
      </c>
      <c r="U15" s="164" t="s">
        <v>50</v>
      </c>
      <c r="V15" s="164" t="s">
        <v>558</v>
      </c>
      <c r="W15" s="166" t="s">
        <v>384</v>
      </c>
      <c r="X15" s="164">
        <v>1</v>
      </c>
      <c r="Y15" s="164">
        <v>1</v>
      </c>
      <c r="Z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4">
        <v>0</v>
      </c>
      <c r="AF15" s="164">
        <v>1</v>
      </c>
      <c r="AG15" s="164">
        <v>1</v>
      </c>
      <c r="AH15" s="164">
        <v>0</v>
      </c>
      <c r="AI15" s="172">
        <v>0</v>
      </c>
      <c r="AJ15" s="164">
        <v>0</v>
      </c>
      <c r="AK15" s="164">
        <v>0</v>
      </c>
      <c r="AL15" s="164">
        <v>0</v>
      </c>
      <c r="AM15" s="172">
        <v>0</v>
      </c>
    </row>
    <row r="16" spans="1:42" ht="14.95" customHeight="1" thickBot="1" x14ac:dyDescent="0.3">
      <c r="A16" s="154" t="s">
        <v>510</v>
      </c>
      <c r="B16" s="155" t="s">
        <v>73</v>
      </c>
      <c r="C16" s="152" t="s">
        <v>4</v>
      </c>
      <c r="D16" s="153" t="s">
        <v>153</v>
      </c>
      <c r="E16" s="153" t="s">
        <v>9</v>
      </c>
      <c r="F16" s="153">
        <v>38</v>
      </c>
      <c r="G16" s="153">
        <v>38</v>
      </c>
      <c r="H16" s="454">
        <v>1</v>
      </c>
      <c r="I16" s="454">
        <v>0</v>
      </c>
      <c r="J16" s="454">
        <v>6</v>
      </c>
      <c r="K16" s="454">
        <v>4</v>
      </c>
      <c r="L16" s="454">
        <v>0</v>
      </c>
      <c r="M16" s="454">
        <v>0</v>
      </c>
      <c r="N16" s="454">
        <v>0</v>
      </c>
      <c r="O16" s="454">
        <v>0</v>
      </c>
      <c r="P16" s="454">
        <v>1</v>
      </c>
      <c r="Q16" s="454">
        <v>0</v>
      </c>
      <c r="R16" s="454">
        <v>5</v>
      </c>
      <c r="S16" s="175" t="s">
        <v>592</v>
      </c>
      <c r="T16" s="157" t="s">
        <v>291</v>
      </c>
      <c r="U16" s="158" t="s">
        <v>575</v>
      </c>
      <c r="V16" s="158" t="s">
        <v>294</v>
      </c>
      <c r="W16" s="160" t="s">
        <v>348</v>
      </c>
      <c r="X16" s="158">
        <v>1</v>
      </c>
      <c r="Y16" s="158">
        <v>0</v>
      </c>
      <c r="Z16" s="158">
        <v>1</v>
      </c>
      <c r="AA16" s="158">
        <v>0</v>
      </c>
      <c r="AB16" s="158">
        <v>1</v>
      </c>
      <c r="AC16" s="158">
        <v>0</v>
      </c>
      <c r="AD16" s="158">
        <v>1</v>
      </c>
      <c r="AE16" s="158">
        <v>0</v>
      </c>
      <c r="AF16" s="158">
        <v>0</v>
      </c>
      <c r="AG16" s="158">
        <v>0</v>
      </c>
      <c r="AH16" s="158">
        <v>0</v>
      </c>
      <c r="AI16" s="157">
        <v>0</v>
      </c>
      <c r="AJ16" s="158">
        <v>0</v>
      </c>
      <c r="AK16" s="158">
        <v>0</v>
      </c>
      <c r="AL16" s="158">
        <v>0</v>
      </c>
      <c r="AM16" s="157">
        <v>0</v>
      </c>
    </row>
    <row r="17" spans="1:39" ht="14.95" customHeight="1" thickBot="1" x14ac:dyDescent="0.3">
      <c r="A17" s="161" t="s">
        <v>511</v>
      </c>
      <c r="B17" s="162" t="s">
        <v>73</v>
      </c>
      <c r="C17" s="147" t="s">
        <v>63</v>
      </c>
      <c r="D17" s="148" t="s">
        <v>12</v>
      </c>
      <c r="E17" s="148" t="s">
        <v>10</v>
      </c>
      <c r="F17" s="148">
        <v>22</v>
      </c>
      <c r="G17" s="148">
        <v>45</v>
      </c>
      <c r="H17" s="453">
        <v>1</v>
      </c>
      <c r="I17" s="453">
        <v>0</v>
      </c>
      <c r="J17" s="453">
        <v>4</v>
      </c>
      <c r="K17" s="453">
        <v>1</v>
      </c>
      <c r="L17" s="453">
        <v>0</v>
      </c>
      <c r="M17" s="453">
        <v>0</v>
      </c>
      <c r="N17" s="453">
        <v>0</v>
      </c>
      <c r="O17" s="453">
        <v>0</v>
      </c>
      <c r="P17" s="453">
        <v>1</v>
      </c>
      <c r="Q17" s="453">
        <v>0</v>
      </c>
      <c r="R17" s="453">
        <v>7</v>
      </c>
      <c r="S17" s="171" t="s">
        <v>597</v>
      </c>
      <c r="T17" s="172" t="s">
        <v>573</v>
      </c>
      <c r="U17" s="164" t="s">
        <v>296</v>
      </c>
      <c r="V17" s="164" t="s">
        <v>284</v>
      </c>
      <c r="W17" s="166" t="s">
        <v>323</v>
      </c>
      <c r="X17" s="164">
        <v>1</v>
      </c>
      <c r="Y17" s="164">
        <v>0</v>
      </c>
      <c r="Z17" s="164">
        <v>0</v>
      </c>
      <c r="AA17" s="164">
        <v>1</v>
      </c>
      <c r="AB17" s="164">
        <v>0</v>
      </c>
      <c r="AC17" s="164">
        <v>0</v>
      </c>
      <c r="AD17" s="164">
        <v>0</v>
      </c>
      <c r="AE17" s="164">
        <v>0</v>
      </c>
      <c r="AF17" s="164">
        <v>1</v>
      </c>
      <c r="AG17" s="164">
        <v>0</v>
      </c>
      <c r="AH17" s="164">
        <v>0</v>
      </c>
      <c r="AI17" s="172">
        <v>1</v>
      </c>
      <c r="AJ17" s="164">
        <v>0</v>
      </c>
      <c r="AK17" s="164">
        <v>0</v>
      </c>
      <c r="AL17" s="164">
        <v>0</v>
      </c>
      <c r="AM17" s="172">
        <v>0</v>
      </c>
    </row>
    <row r="18" spans="1:39" ht="14.95" customHeight="1" thickBot="1" x14ac:dyDescent="0.3">
      <c r="A18" s="161" t="s">
        <v>513</v>
      </c>
      <c r="B18" s="162" t="s">
        <v>73</v>
      </c>
      <c r="C18" s="147" t="s">
        <v>3</v>
      </c>
      <c r="D18" s="148" t="s">
        <v>12</v>
      </c>
      <c r="E18" s="148" t="s">
        <v>10</v>
      </c>
      <c r="F18" s="148">
        <v>12</v>
      </c>
      <c r="G18" s="148">
        <v>15</v>
      </c>
      <c r="H18" s="453">
        <v>0</v>
      </c>
      <c r="I18" s="453">
        <v>1</v>
      </c>
      <c r="J18" s="453">
        <v>2</v>
      </c>
      <c r="K18" s="453">
        <v>1</v>
      </c>
      <c r="L18" s="453">
        <v>0</v>
      </c>
      <c r="M18" s="453">
        <v>0</v>
      </c>
      <c r="N18" s="453">
        <v>0</v>
      </c>
      <c r="O18" s="453">
        <v>0</v>
      </c>
      <c r="P18" s="453">
        <v>0</v>
      </c>
      <c r="Q18" s="453">
        <v>0</v>
      </c>
      <c r="R18" s="453">
        <v>2</v>
      </c>
      <c r="S18" s="171" t="s">
        <v>613</v>
      </c>
      <c r="T18" s="172" t="s">
        <v>328</v>
      </c>
      <c r="U18" s="164" t="s">
        <v>50</v>
      </c>
      <c r="V18" s="164" t="s">
        <v>610</v>
      </c>
      <c r="W18" s="166" t="s">
        <v>611</v>
      </c>
      <c r="X18" s="164">
        <v>1</v>
      </c>
      <c r="Y18" s="164">
        <v>0</v>
      </c>
      <c r="Z18" s="164">
        <v>0</v>
      </c>
      <c r="AA18" s="164">
        <v>1</v>
      </c>
      <c r="AB18" s="164">
        <v>0</v>
      </c>
      <c r="AC18" s="164">
        <v>0</v>
      </c>
      <c r="AD18" s="164">
        <v>0</v>
      </c>
      <c r="AE18" s="164">
        <v>0</v>
      </c>
      <c r="AF18" s="164">
        <v>1</v>
      </c>
      <c r="AG18" s="164">
        <v>0</v>
      </c>
      <c r="AH18" s="164">
        <v>0</v>
      </c>
      <c r="AI18" s="172">
        <v>1</v>
      </c>
      <c r="AJ18" s="164">
        <v>0</v>
      </c>
      <c r="AK18" s="164">
        <v>0</v>
      </c>
      <c r="AL18" s="164">
        <v>0</v>
      </c>
      <c r="AM18" s="172">
        <v>0</v>
      </c>
    </row>
    <row r="19" spans="1:39" ht="14.95" customHeight="1" thickBot="1" x14ac:dyDescent="0.3">
      <c r="A19" s="177" t="s">
        <v>516</v>
      </c>
      <c r="B19" s="155" t="s">
        <v>73</v>
      </c>
      <c r="C19" s="152" t="s">
        <v>1</v>
      </c>
      <c r="D19" s="153" t="s">
        <v>153</v>
      </c>
      <c r="E19" s="153" t="s">
        <v>10</v>
      </c>
      <c r="F19" s="153">
        <v>26</v>
      </c>
      <c r="G19" s="153">
        <v>43</v>
      </c>
      <c r="H19" s="454">
        <v>1</v>
      </c>
      <c r="I19" s="454">
        <v>0</v>
      </c>
      <c r="J19" s="454">
        <v>4</v>
      </c>
      <c r="K19" s="454">
        <v>3</v>
      </c>
      <c r="L19" s="454">
        <v>0</v>
      </c>
      <c r="M19" s="454">
        <v>0</v>
      </c>
      <c r="N19" s="454">
        <v>2</v>
      </c>
      <c r="O19" s="454">
        <v>0</v>
      </c>
      <c r="P19" s="454">
        <v>1</v>
      </c>
      <c r="Q19" s="454">
        <v>0</v>
      </c>
      <c r="R19" s="454">
        <v>6</v>
      </c>
      <c r="S19" s="175" t="s">
        <v>630</v>
      </c>
      <c r="T19" s="157" t="s">
        <v>522</v>
      </c>
      <c r="U19" s="158" t="s">
        <v>296</v>
      </c>
      <c r="V19" s="158" t="s">
        <v>624</v>
      </c>
      <c r="W19" s="160" t="s">
        <v>338</v>
      </c>
      <c r="X19" s="158">
        <v>1</v>
      </c>
      <c r="Y19" s="158">
        <v>0</v>
      </c>
      <c r="Z19" s="158">
        <v>0</v>
      </c>
      <c r="AA19" s="158">
        <v>1</v>
      </c>
      <c r="AB19" s="158">
        <v>1</v>
      </c>
      <c r="AC19" s="158">
        <v>0</v>
      </c>
      <c r="AD19" s="158">
        <v>0</v>
      </c>
      <c r="AE19" s="158">
        <v>1</v>
      </c>
      <c r="AF19" s="158">
        <v>0</v>
      </c>
      <c r="AG19" s="158">
        <v>0</v>
      </c>
      <c r="AH19" s="158">
        <v>0</v>
      </c>
      <c r="AI19" s="157">
        <v>0</v>
      </c>
      <c r="AJ19" s="158">
        <v>0</v>
      </c>
      <c r="AK19" s="158">
        <v>0</v>
      </c>
      <c r="AL19" s="158">
        <v>0</v>
      </c>
      <c r="AM19" s="157">
        <v>0</v>
      </c>
    </row>
    <row r="20" spans="1:39" ht="14.95" customHeight="1" thickBot="1" x14ac:dyDescent="0.3">
      <c r="A20" s="178" t="s">
        <v>517</v>
      </c>
      <c r="B20" s="162" t="s">
        <v>73</v>
      </c>
      <c r="C20" s="147" t="s">
        <v>540</v>
      </c>
      <c r="D20" s="148" t="s">
        <v>12</v>
      </c>
      <c r="E20" s="148" t="s">
        <v>10</v>
      </c>
      <c r="F20" s="148">
        <v>33</v>
      </c>
      <c r="G20" s="148">
        <v>43</v>
      </c>
      <c r="H20" s="453">
        <v>1</v>
      </c>
      <c r="I20" s="453">
        <v>0</v>
      </c>
      <c r="J20" s="453">
        <v>5</v>
      </c>
      <c r="K20" s="453">
        <v>4</v>
      </c>
      <c r="L20" s="453">
        <v>0</v>
      </c>
      <c r="M20" s="453">
        <v>0</v>
      </c>
      <c r="N20" s="453">
        <v>2</v>
      </c>
      <c r="O20" s="453">
        <v>0</v>
      </c>
      <c r="P20" s="453">
        <v>1</v>
      </c>
      <c r="Q20" s="453">
        <v>0</v>
      </c>
      <c r="R20" s="453">
        <v>7</v>
      </c>
      <c r="S20" s="171" t="s">
        <v>454</v>
      </c>
      <c r="T20" s="172" t="s">
        <v>624</v>
      </c>
      <c r="U20" s="164" t="s">
        <v>50</v>
      </c>
      <c r="V20" s="164" t="s">
        <v>642</v>
      </c>
      <c r="W20" s="166" t="s">
        <v>283</v>
      </c>
      <c r="X20" s="164">
        <v>1</v>
      </c>
      <c r="Y20" s="164">
        <v>0</v>
      </c>
      <c r="Z20" s="164">
        <v>0</v>
      </c>
      <c r="AA20" s="164">
        <v>1</v>
      </c>
      <c r="AB20" s="164">
        <v>0</v>
      </c>
      <c r="AC20" s="164">
        <v>0</v>
      </c>
      <c r="AD20" s="164">
        <v>0</v>
      </c>
      <c r="AE20" s="164">
        <v>0</v>
      </c>
      <c r="AF20" s="164">
        <v>1</v>
      </c>
      <c r="AG20" s="164">
        <v>0</v>
      </c>
      <c r="AH20" s="164">
        <v>0</v>
      </c>
      <c r="AI20" s="172">
        <v>1</v>
      </c>
      <c r="AJ20" s="164">
        <v>0</v>
      </c>
      <c r="AK20" s="164">
        <v>0</v>
      </c>
      <c r="AL20" s="164">
        <v>0</v>
      </c>
      <c r="AM20" s="172">
        <v>0</v>
      </c>
    </row>
    <row r="21" spans="1:39" ht="14.95" customHeight="1" thickBot="1" x14ac:dyDescent="0.3">
      <c r="A21" s="177" t="s">
        <v>127</v>
      </c>
      <c r="B21" s="155" t="s">
        <v>73</v>
      </c>
      <c r="C21" s="152" t="s">
        <v>100</v>
      </c>
      <c r="D21" s="153" t="s">
        <v>153</v>
      </c>
      <c r="E21" s="153" t="s">
        <v>10</v>
      </c>
      <c r="F21" s="153">
        <v>17</v>
      </c>
      <c r="G21" s="153">
        <v>21</v>
      </c>
      <c r="H21" s="454">
        <v>0</v>
      </c>
      <c r="I21" s="454">
        <v>1</v>
      </c>
      <c r="J21" s="454">
        <v>3</v>
      </c>
      <c r="K21" s="454">
        <v>1</v>
      </c>
      <c r="L21" s="454">
        <v>0</v>
      </c>
      <c r="M21" s="454">
        <v>0</v>
      </c>
      <c r="N21" s="454">
        <v>1</v>
      </c>
      <c r="O21" s="454">
        <v>0</v>
      </c>
      <c r="P21" s="454">
        <v>0</v>
      </c>
      <c r="Q21" s="454">
        <v>0</v>
      </c>
      <c r="R21" s="454">
        <v>3</v>
      </c>
      <c r="S21" s="175" t="s">
        <v>658</v>
      </c>
      <c r="T21" s="157" t="s">
        <v>297</v>
      </c>
      <c r="U21" s="158" t="s">
        <v>50</v>
      </c>
      <c r="V21" s="158" t="s">
        <v>338</v>
      </c>
      <c r="W21" s="160" t="s">
        <v>295</v>
      </c>
      <c r="X21" s="158">
        <v>1</v>
      </c>
      <c r="Y21" s="158">
        <v>0</v>
      </c>
      <c r="Z21" s="158">
        <v>0</v>
      </c>
      <c r="AA21" s="158">
        <v>1</v>
      </c>
      <c r="AB21" s="158">
        <v>1</v>
      </c>
      <c r="AC21" s="158">
        <v>0</v>
      </c>
      <c r="AD21" s="158">
        <v>0</v>
      </c>
      <c r="AE21" s="158">
        <v>1</v>
      </c>
      <c r="AF21" s="158">
        <v>0</v>
      </c>
      <c r="AG21" s="158">
        <v>0</v>
      </c>
      <c r="AH21" s="158">
        <v>0</v>
      </c>
      <c r="AI21" s="157">
        <v>0</v>
      </c>
      <c r="AJ21" s="158">
        <v>0</v>
      </c>
      <c r="AK21" s="158">
        <v>0</v>
      </c>
      <c r="AL21" s="158">
        <v>0</v>
      </c>
      <c r="AM21" s="157">
        <v>0</v>
      </c>
    </row>
    <row r="22" spans="1:39" ht="14.95" customHeight="1" thickBot="1" x14ac:dyDescent="0.3">
      <c r="A22" s="178" t="s">
        <v>246</v>
      </c>
      <c r="B22" s="162" t="s">
        <v>73</v>
      </c>
      <c r="C22" s="147" t="s">
        <v>49</v>
      </c>
      <c r="D22" s="148" t="s">
        <v>164</v>
      </c>
      <c r="E22" s="148"/>
      <c r="F22" s="148"/>
      <c r="G22" s="148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337"/>
      <c r="T22" s="172"/>
      <c r="U22" s="164"/>
      <c r="V22" s="164"/>
      <c r="W22" s="166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72"/>
      <c r="AJ22" s="164"/>
      <c r="AK22" s="164"/>
      <c r="AL22" s="164"/>
      <c r="AM22" s="172"/>
    </row>
    <row r="23" spans="1:39" ht="14.95" customHeight="1" thickBot="1" x14ac:dyDescent="0.3">
      <c r="A23" s="177" t="s">
        <v>127</v>
      </c>
      <c r="B23" s="155" t="s">
        <v>73</v>
      </c>
      <c r="C23" s="152" t="s">
        <v>70</v>
      </c>
      <c r="D23" s="153" t="s">
        <v>153</v>
      </c>
      <c r="E23" s="153"/>
      <c r="F23" s="153"/>
      <c r="G23" s="153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175"/>
      <c r="T23" s="157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7"/>
      <c r="AJ23" s="158"/>
      <c r="AK23" s="158"/>
      <c r="AL23" s="158"/>
      <c r="AM23" s="157"/>
    </row>
    <row r="24" spans="1:39" ht="14.95" customHeight="1" thickBot="1" x14ac:dyDescent="0.35">
      <c r="A24" s="502" t="s">
        <v>249</v>
      </c>
      <c r="B24" s="503" t="s">
        <v>128</v>
      </c>
      <c r="C24" s="504"/>
      <c r="D24" s="505"/>
      <c r="E24" s="505"/>
      <c r="F24" s="505"/>
      <c r="G24" s="505"/>
      <c r="H24" s="506"/>
      <c r="I24" s="506"/>
      <c r="J24" s="506"/>
      <c r="K24" s="506"/>
      <c r="L24" s="506"/>
      <c r="M24" s="506"/>
      <c r="N24" s="506"/>
      <c r="O24" s="506"/>
      <c r="P24" s="506"/>
      <c r="Q24" s="506"/>
      <c r="R24" s="506"/>
      <c r="S24" s="507"/>
      <c r="T24" s="508"/>
      <c r="U24" s="509"/>
      <c r="V24" s="509"/>
      <c r="W24" s="510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09"/>
      <c r="AI24" s="508"/>
      <c r="AJ24" s="509"/>
      <c r="AK24" s="509"/>
      <c r="AL24" s="509"/>
      <c r="AM24" s="508"/>
    </row>
    <row r="25" spans="1:39" ht="14.95" customHeight="1" thickBot="1" x14ac:dyDescent="0.3">
      <c r="A25" s="177" t="s">
        <v>250</v>
      </c>
      <c r="B25" s="155" t="s">
        <v>247</v>
      </c>
      <c r="C25" s="152"/>
      <c r="D25" s="153"/>
      <c r="E25" s="153"/>
      <c r="F25" s="153"/>
      <c r="G25" s="153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175"/>
      <c r="T25" s="157"/>
      <c r="U25" s="158"/>
      <c r="V25" s="158"/>
      <c r="W25" s="160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7"/>
      <c r="AJ25" s="158"/>
      <c r="AK25" s="158"/>
      <c r="AL25" s="158"/>
      <c r="AM25" s="157"/>
    </row>
    <row r="26" spans="1:39" ht="14.95" customHeight="1" thickBot="1" x14ac:dyDescent="0.3">
      <c r="A26" s="120"/>
      <c r="B26" s="121"/>
      <c r="C26" s="741" t="s">
        <v>74</v>
      </c>
      <c r="D26" s="742"/>
      <c r="E26" s="743"/>
      <c r="F26" s="122">
        <f t="shared" ref="F26:R26" si="0">SUM(F8:F23)</f>
        <v>398</v>
      </c>
      <c r="G26" s="122">
        <f t="shared" si="0"/>
        <v>436</v>
      </c>
      <c r="H26" s="122">
        <f t="shared" si="0"/>
        <v>10</v>
      </c>
      <c r="I26" s="122">
        <f t="shared" si="0"/>
        <v>4</v>
      </c>
      <c r="J26" s="122">
        <f t="shared" si="0"/>
        <v>64</v>
      </c>
      <c r="K26" s="122">
        <f t="shared" si="0"/>
        <v>38</v>
      </c>
      <c r="L26" s="122">
        <f t="shared" si="0"/>
        <v>0</v>
      </c>
      <c r="M26" s="122">
        <f t="shared" si="0"/>
        <v>0</v>
      </c>
      <c r="N26" s="122">
        <f t="shared" si="0"/>
        <v>10</v>
      </c>
      <c r="O26" s="122">
        <f t="shared" si="0"/>
        <v>0</v>
      </c>
      <c r="P26" s="122">
        <f t="shared" si="0"/>
        <v>10</v>
      </c>
      <c r="Q26" s="122">
        <f t="shared" si="0"/>
        <v>2</v>
      </c>
      <c r="R26" s="122">
        <f t="shared" si="0"/>
        <v>64</v>
      </c>
      <c r="S26" s="123"/>
      <c r="T26" s="123"/>
      <c r="U26" s="124"/>
      <c r="V26" s="124"/>
      <c r="W26" s="125" t="s">
        <v>74</v>
      </c>
      <c r="X26" s="122">
        <f t="shared" ref="X26:AM26" si="1">SUM(X8:X23)</f>
        <v>14</v>
      </c>
      <c r="Y26" s="122">
        <f t="shared" si="1"/>
        <v>5</v>
      </c>
      <c r="Z26" s="122">
        <f t="shared" si="1"/>
        <v>1</v>
      </c>
      <c r="AA26" s="122">
        <f t="shared" si="1"/>
        <v>8</v>
      </c>
      <c r="AB26" s="126">
        <f t="shared" si="1"/>
        <v>7</v>
      </c>
      <c r="AC26" s="126">
        <f t="shared" si="1"/>
        <v>3</v>
      </c>
      <c r="AD26" s="126">
        <f t="shared" si="1"/>
        <v>1</v>
      </c>
      <c r="AE26" s="126">
        <f t="shared" si="1"/>
        <v>3</v>
      </c>
      <c r="AF26" s="127">
        <f t="shared" si="1"/>
        <v>7</v>
      </c>
      <c r="AG26" s="127">
        <f t="shared" si="1"/>
        <v>2</v>
      </c>
      <c r="AH26" s="127">
        <f t="shared" si="1"/>
        <v>0</v>
      </c>
      <c r="AI26" s="127">
        <f t="shared" si="1"/>
        <v>5</v>
      </c>
      <c r="AJ26" s="122">
        <f t="shared" si="1"/>
        <v>0</v>
      </c>
      <c r="AK26" s="122">
        <f t="shared" si="1"/>
        <v>0</v>
      </c>
      <c r="AL26" s="122">
        <f t="shared" si="1"/>
        <v>0</v>
      </c>
      <c r="AM26" s="122">
        <f t="shared" si="1"/>
        <v>0</v>
      </c>
    </row>
    <row r="27" spans="1:39" ht="14.95" customHeight="1" thickBot="1" x14ac:dyDescent="0.3">
      <c r="A27" s="128"/>
      <c r="B27" s="128"/>
      <c r="C27" s="741" t="s">
        <v>75</v>
      </c>
      <c r="D27" s="742"/>
      <c r="E27" s="743"/>
      <c r="F27" s="122">
        <f>F24+F25</f>
        <v>0</v>
      </c>
      <c r="G27" s="122">
        <f>G24+G25</f>
        <v>0</v>
      </c>
      <c r="H27" s="129" t="s">
        <v>42</v>
      </c>
      <c r="I27" s="129" t="s">
        <v>42</v>
      </c>
      <c r="J27" s="122">
        <f t="shared" ref="J27:O27" si="2">J24+J25</f>
        <v>0</v>
      </c>
      <c r="K27" s="122">
        <f t="shared" si="2"/>
        <v>0</v>
      </c>
      <c r="L27" s="122">
        <f t="shared" si="2"/>
        <v>0</v>
      </c>
      <c r="M27" s="122">
        <f t="shared" si="2"/>
        <v>0</v>
      </c>
      <c r="N27" s="122">
        <f t="shared" si="2"/>
        <v>0</v>
      </c>
      <c r="O27" s="122">
        <f t="shared" si="2"/>
        <v>0</v>
      </c>
      <c r="P27" s="129" t="s">
        <v>42</v>
      </c>
      <c r="Q27" s="129" t="s">
        <v>42</v>
      </c>
      <c r="R27" s="122">
        <f>R24+R25</f>
        <v>0</v>
      </c>
      <c r="S27" s="123"/>
      <c r="T27" s="123"/>
      <c r="U27" s="123"/>
      <c r="V27" s="124"/>
      <c r="W27" s="125" t="s">
        <v>75</v>
      </c>
      <c r="X27" s="122">
        <f t="shared" ref="X27:AM27" si="3">X24+X25</f>
        <v>0</v>
      </c>
      <c r="Y27" s="122">
        <f t="shared" si="3"/>
        <v>0</v>
      </c>
      <c r="Z27" s="122">
        <f t="shared" si="3"/>
        <v>0</v>
      </c>
      <c r="AA27" s="122">
        <f t="shared" si="3"/>
        <v>0</v>
      </c>
      <c r="AB27" s="126">
        <f t="shared" si="3"/>
        <v>0</v>
      </c>
      <c r="AC27" s="126">
        <f t="shared" si="3"/>
        <v>0</v>
      </c>
      <c r="AD27" s="126">
        <f t="shared" si="3"/>
        <v>0</v>
      </c>
      <c r="AE27" s="126">
        <f t="shared" si="3"/>
        <v>0</v>
      </c>
      <c r="AF27" s="130">
        <f t="shared" si="3"/>
        <v>0</v>
      </c>
      <c r="AG27" s="130">
        <f t="shared" si="3"/>
        <v>0</v>
      </c>
      <c r="AH27" s="130">
        <f t="shared" si="3"/>
        <v>0</v>
      </c>
      <c r="AI27" s="130">
        <f t="shared" si="3"/>
        <v>0</v>
      </c>
      <c r="AJ27" s="122">
        <f t="shared" si="3"/>
        <v>0</v>
      </c>
      <c r="AK27" s="122">
        <f t="shared" si="3"/>
        <v>0</v>
      </c>
      <c r="AL27" s="122">
        <f t="shared" si="3"/>
        <v>0</v>
      </c>
      <c r="AM27" s="122">
        <f t="shared" si="3"/>
        <v>0</v>
      </c>
    </row>
    <row r="28" spans="1:39" ht="14.95" customHeight="1" thickBot="1" x14ac:dyDescent="0.3">
      <c r="A28" s="128"/>
      <c r="B28" s="128"/>
      <c r="C28" s="741" t="s">
        <v>76</v>
      </c>
      <c r="D28" s="742"/>
      <c r="E28" s="743"/>
      <c r="F28" s="122">
        <f>SUM(F26+F27)</f>
        <v>398</v>
      </c>
      <c r="G28" s="122">
        <f t="shared" ref="G28:R28" si="4">SUM(G26+G27)</f>
        <v>436</v>
      </c>
      <c r="H28" s="122">
        <f>H26</f>
        <v>10</v>
      </c>
      <c r="I28" s="122">
        <f>I26</f>
        <v>4</v>
      </c>
      <c r="J28" s="122">
        <f t="shared" si="4"/>
        <v>64</v>
      </c>
      <c r="K28" s="122">
        <f t="shared" si="4"/>
        <v>38</v>
      </c>
      <c r="L28" s="122">
        <f t="shared" si="4"/>
        <v>0</v>
      </c>
      <c r="M28" s="122">
        <f t="shared" si="4"/>
        <v>0</v>
      </c>
      <c r="N28" s="122">
        <f t="shared" si="4"/>
        <v>10</v>
      </c>
      <c r="O28" s="122">
        <f t="shared" si="4"/>
        <v>0</v>
      </c>
      <c r="P28" s="122">
        <f t="shared" ref="P28:Q28" si="5">P26</f>
        <v>10</v>
      </c>
      <c r="Q28" s="122">
        <f t="shared" si="5"/>
        <v>2</v>
      </c>
      <c r="R28" s="122">
        <f t="shared" si="4"/>
        <v>64</v>
      </c>
      <c r="S28" s="123"/>
      <c r="T28" s="123"/>
      <c r="U28" s="123"/>
      <c r="V28" s="124"/>
      <c r="W28" s="125" t="s">
        <v>76</v>
      </c>
      <c r="X28" s="122">
        <f t="shared" ref="X28:AM28" si="6">SUM(X26+X27)</f>
        <v>14</v>
      </c>
      <c r="Y28" s="122">
        <f t="shared" si="6"/>
        <v>5</v>
      </c>
      <c r="Z28" s="122">
        <f t="shared" si="6"/>
        <v>1</v>
      </c>
      <c r="AA28" s="122">
        <f t="shared" si="6"/>
        <v>8</v>
      </c>
      <c r="AB28" s="126">
        <f t="shared" si="6"/>
        <v>7</v>
      </c>
      <c r="AC28" s="126">
        <f t="shared" si="6"/>
        <v>3</v>
      </c>
      <c r="AD28" s="126">
        <f t="shared" si="6"/>
        <v>1</v>
      </c>
      <c r="AE28" s="126">
        <f t="shared" si="6"/>
        <v>3</v>
      </c>
      <c r="AF28" s="127">
        <f t="shared" si="6"/>
        <v>7</v>
      </c>
      <c r="AG28" s="127">
        <f t="shared" si="6"/>
        <v>2</v>
      </c>
      <c r="AH28" s="127">
        <f t="shared" si="6"/>
        <v>0</v>
      </c>
      <c r="AI28" s="127">
        <f t="shared" si="6"/>
        <v>5</v>
      </c>
      <c r="AJ28" s="122">
        <f t="shared" si="6"/>
        <v>0</v>
      </c>
      <c r="AK28" s="122">
        <f t="shared" si="6"/>
        <v>0</v>
      </c>
      <c r="AL28" s="122">
        <f t="shared" si="6"/>
        <v>0</v>
      </c>
      <c r="AM28" s="122">
        <f t="shared" si="6"/>
        <v>0</v>
      </c>
    </row>
    <row r="29" spans="1:39" ht="14.95" thickBot="1" x14ac:dyDescent="0.3">
      <c r="A29" s="34"/>
      <c r="C29" s="726" t="s">
        <v>441</v>
      </c>
      <c r="D29" s="727"/>
      <c r="E29" s="728"/>
      <c r="F29" s="644">
        <f>SUM(F3:F5)</f>
        <v>140</v>
      </c>
      <c r="G29" s="644">
        <f t="shared" ref="G29:R29" si="7">SUM(G3:G5)</f>
        <v>75</v>
      </c>
      <c r="H29" s="644">
        <f t="shared" si="7"/>
        <v>3</v>
      </c>
      <c r="I29" s="644">
        <f t="shared" si="7"/>
        <v>0</v>
      </c>
      <c r="J29" s="644">
        <f t="shared" si="7"/>
        <v>22</v>
      </c>
      <c r="K29" s="644">
        <f t="shared" si="7"/>
        <v>15</v>
      </c>
      <c r="L29" s="644">
        <f t="shared" si="7"/>
        <v>0</v>
      </c>
      <c r="M29" s="644">
        <f t="shared" si="7"/>
        <v>0</v>
      </c>
      <c r="N29" s="644">
        <f t="shared" si="7"/>
        <v>3</v>
      </c>
      <c r="O29" s="644">
        <f t="shared" si="7"/>
        <v>0</v>
      </c>
      <c r="P29" s="644">
        <f t="shared" si="7"/>
        <v>3</v>
      </c>
      <c r="Q29" s="644">
        <f t="shared" si="7"/>
        <v>0</v>
      </c>
      <c r="R29" s="644">
        <f t="shared" si="7"/>
        <v>13</v>
      </c>
      <c r="S29" s="645"/>
      <c r="T29" s="645"/>
      <c r="U29" s="645"/>
      <c r="V29" s="646"/>
      <c r="W29" s="647" t="s">
        <v>441</v>
      </c>
      <c r="X29" s="644">
        <f t="shared" ref="X29:AM29" si="8">SUM(X3:X5)</f>
        <v>3</v>
      </c>
      <c r="Y29" s="644">
        <f t="shared" si="8"/>
        <v>3</v>
      </c>
      <c r="Z29" s="644">
        <f t="shared" si="8"/>
        <v>0</v>
      </c>
      <c r="AA29" s="644">
        <f t="shared" si="8"/>
        <v>0</v>
      </c>
      <c r="AB29" s="648">
        <f t="shared" si="8"/>
        <v>2</v>
      </c>
      <c r="AC29" s="648">
        <f t="shared" si="8"/>
        <v>2</v>
      </c>
      <c r="AD29" s="648">
        <f t="shared" si="8"/>
        <v>0</v>
      </c>
      <c r="AE29" s="648">
        <f t="shared" si="8"/>
        <v>0</v>
      </c>
      <c r="AF29" s="649">
        <f t="shared" si="8"/>
        <v>1</v>
      </c>
      <c r="AG29" s="649">
        <f t="shared" si="8"/>
        <v>1</v>
      </c>
      <c r="AH29" s="649">
        <f t="shared" si="8"/>
        <v>0</v>
      </c>
      <c r="AI29" s="649">
        <f t="shared" si="8"/>
        <v>0</v>
      </c>
      <c r="AJ29" s="644">
        <f t="shared" si="8"/>
        <v>0</v>
      </c>
      <c r="AK29" s="644">
        <f t="shared" si="8"/>
        <v>0</v>
      </c>
      <c r="AL29" s="644">
        <f t="shared" si="8"/>
        <v>0</v>
      </c>
      <c r="AM29" s="644">
        <f t="shared" si="8"/>
        <v>0</v>
      </c>
    </row>
    <row r="30" spans="1:39" ht="14.95" thickBot="1" x14ac:dyDescent="0.3">
      <c r="A30" s="501"/>
      <c r="C30" s="726" t="s">
        <v>442</v>
      </c>
      <c r="D30" s="727"/>
      <c r="E30" s="728"/>
      <c r="F30" s="644">
        <f>SUM(F6:F7)</f>
        <v>74</v>
      </c>
      <c r="G30" s="644">
        <f t="shared" ref="G30:R30" si="9">SUM(G6:G7)</f>
        <v>79</v>
      </c>
      <c r="H30" s="644">
        <f t="shared" si="9"/>
        <v>0</v>
      </c>
      <c r="I30" s="644">
        <f t="shared" si="9"/>
        <v>0</v>
      </c>
      <c r="J30" s="644">
        <f t="shared" si="9"/>
        <v>11</v>
      </c>
      <c r="K30" s="644">
        <f t="shared" si="9"/>
        <v>8</v>
      </c>
      <c r="L30" s="644">
        <f t="shared" si="9"/>
        <v>0</v>
      </c>
      <c r="M30" s="644">
        <f t="shared" si="9"/>
        <v>1</v>
      </c>
      <c r="N30" s="644">
        <f t="shared" si="9"/>
        <v>1</v>
      </c>
      <c r="O30" s="644">
        <f t="shared" si="9"/>
        <v>0</v>
      </c>
      <c r="P30" s="644">
        <f t="shared" si="9"/>
        <v>0</v>
      </c>
      <c r="Q30" s="644">
        <f t="shared" si="9"/>
        <v>0</v>
      </c>
      <c r="R30" s="644">
        <f t="shared" si="9"/>
        <v>12</v>
      </c>
      <c r="S30" s="645"/>
      <c r="T30" s="645"/>
      <c r="U30" s="645"/>
      <c r="V30" s="646"/>
      <c r="W30" s="647" t="s">
        <v>442</v>
      </c>
      <c r="X30" s="644">
        <f t="shared" ref="X30:AM30" si="10">SUM(X6:X7)</f>
        <v>2</v>
      </c>
      <c r="Y30" s="644">
        <f t="shared" si="10"/>
        <v>1</v>
      </c>
      <c r="Z30" s="644">
        <f t="shared" si="10"/>
        <v>0</v>
      </c>
      <c r="AA30" s="644">
        <f t="shared" si="10"/>
        <v>1</v>
      </c>
      <c r="AB30" s="648">
        <f t="shared" si="10"/>
        <v>1</v>
      </c>
      <c r="AC30" s="648">
        <f t="shared" si="10"/>
        <v>1</v>
      </c>
      <c r="AD30" s="648">
        <f t="shared" si="10"/>
        <v>0</v>
      </c>
      <c r="AE30" s="648">
        <f t="shared" si="10"/>
        <v>0</v>
      </c>
      <c r="AF30" s="649">
        <f t="shared" si="10"/>
        <v>1</v>
      </c>
      <c r="AG30" s="649">
        <f t="shared" si="10"/>
        <v>0</v>
      </c>
      <c r="AH30" s="649">
        <f t="shared" si="10"/>
        <v>0</v>
      </c>
      <c r="AI30" s="649">
        <f t="shared" si="10"/>
        <v>1</v>
      </c>
      <c r="AJ30" s="644">
        <f t="shared" si="10"/>
        <v>0</v>
      </c>
      <c r="AK30" s="644">
        <f t="shared" si="10"/>
        <v>0</v>
      </c>
      <c r="AL30" s="644">
        <f t="shared" si="10"/>
        <v>0</v>
      </c>
      <c r="AM30" s="644">
        <f t="shared" si="10"/>
        <v>0</v>
      </c>
    </row>
    <row r="31" spans="1:39" ht="17" thickBot="1" x14ac:dyDescent="0.35">
      <c r="A31" s="475"/>
      <c r="C31" s="726" t="s">
        <v>440</v>
      </c>
      <c r="D31" s="727"/>
      <c r="E31" s="728"/>
      <c r="F31" s="644">
        <f>SUM(F29+F30)</f>
        <v>214</v>
      </c>
      <c r="G31" s="644">
        <f t="shared" ref="G31:R31" si="11">SUM(G29+G30)</f>
        <v>154</v>
      </c>
      <c r="H31" s="644">
        <f t="shared" si="11"/>
        <v>3</v>
      </c>
      <c r="I31" s="644">
        <f t="shared" si="11"/>
        <v>0</v>
      </c>
      <c r="J31" s="644">
        <f t="shared" si="11"/>
        <v>33</v>
      </c>
      <c r="K31" s="644">
        <f t="shared" si="11"/>
        <v>23</v>
      </c>
      <c r="L31" s="644">
        <f t="shared" si="11"/>
        <v>0</v>
      </c>
      <c r="M31" s="644">
        <f t="shared" si="11"/>
        <v>1</v>
      </c>
      <c r="N31" s="644">
        <f t="shared" si="11"/>
        <v>4</v>
      </c>
      <c r="O31" s="644">
        <f t="shared" si="11"/>
        <v>0</v>
      </c>
      <c r="P31" s="644">
        <f t="shared" si="11"/>
        <v>3</v>
      </c>
      <c r="Q31" s="644">
        <f t="shared" si="11"/>
        <v>0</v>
      </c>
      <c r="R31" s="644">
        <f t="shared" si="11"/>
        <v>25</v>
      </c>
      <c r="S31" s="645"/>
      <c r="T31" s="645"/>
      <c r="U31" s="645"/>
      <c r="V31" s="646"/>
      <c r="W31" s="647" t="s">
        <v>440</v>
      </c>
      <c r="X31" s="644">
        <f t="shared" ref="X31:AM31" si="12">SUM(X29+X30)</f>
        <v>5</v>
      </c>
      <c r="Y31" s="644">
        <f t="shared" si="12"/>
        <v>4</v>
      </c>
      <c r="Z31" s="644">
        <f t="shared" si="12"/>
        <v>0</v>
      </c>
      <c r="AA31" s="644">
        <f t="shared" si="12"/>
        <v>1</v>
      </c>
      <c r="AB31" s="648">
        <f t="shared" si="12"/>
        <v>3</v>
      </c>
      <c r="AC31" s="648">
        <f t="shared" si="12"/>
        <v>3</v>
      </c>
      <c r="AD31" s="648">
        <f t="shared" si="12"/>
        <v>0</v>
      </c>
      <c r="AE31" s="648">
        <f t="shared" si="12"/>
        <v>0</v>
      </c>
      <c r="AF31" s="649">
        <f t="shared" si="12"/>
        <v>2</v>
      </c>
      <c r="AG31" s="649">
        <f t="shared" si="12"/>
        <v>1</v>
      </c>
      <c r="AH31" s="649">
        <f t="shared" si="12"/>
        <v>0</v>
      </c>
      <c r="AI31" s="649">
        <f t="shared" si="12"/>
        <v>1</v>
      </c>
      <c r="AJ31" s="644">
        <f t="shared" si="12"/>
        <v>0</v>
      </c>
      <c r="AK31" s="644">
        <f t="shared" si="12"/>
        <v>0</v>
      </c>
      <c r="AL31" s="644">
        <f t="shared" si="12"/>
        <v>0</v>
      </c>
      <c r="AM31" s="644">
        <f t="shared" si="12"/>
        <v>0</v>
      </c>
    </row>
    <row r="32" spans="1:39" ht="14.95" thickBot="1" x14ac:dyDescent="0.3">
      <c r="A32" s="34"/>
      <c r="C32" s="69" t="s">
        <v>29</v>
      </c>
      <c r="D32" s="70"/>
      <c r="E32" s="71"/>
      <c r="F32" s="72">
        <f>SUM(F3:F25)</f>
        <v>612</v>
      </c>
      <c r="G32" s="72">
        <f t="shared" ref="G32:R32" si="13">SUM(G3:G25)</f>
        <v>590</v>
      </c>
      <c r="H32" s="72">
        <f t="shared" si="13"/>
        <v>13</v>
      </c>
      <c r="I32" s="73">
        <f t="shared" si="13"/>
        <v>4</v>
      </c>
      <c r="J32" s="72">
        <f t="shared" si="13"/>
        <v>97</v>
      </c>
      <c r="K32" s="72">
        <f t="shared" si="13"/>
        <v>61</v>
      </c>
      <c r="L32" s="72">
        <f t="shared" si="13"/>
        <v>0</v>
      </c>
      <c r="M32" s="72">
        <f t="shared" si="13"/>
        <v>1</v>
      </c>
      <c r="N32" s="72">
        <f t="shared" si="13"/>
        <v>14</v>
      </c>
      <c r="O32" s="72">
        <f t="shared" si="13"/>
        <v>0</v>
      </c>
      <c r="P32" s="72">
        <f t="shared" si="13"/>
        <v>13</v>
      </c>
      <c r="Q32" s="72">
        <f t="shared" si="13"/>
        <v>2</v>
      </c>
      <c r="R32" s="72">
        <f t="shared" si="13"/>
        <v>89</v>
      </c>
      <c r="S32" s="40"/>
      <c r="T32" s="40"/>
      <c r="U32" s="40"/>
      <c r="V32" s="40"/>
      <c r="W32" s="65" t="s">
        <v>29</v>
      </c>
      <c r="X32" s="72">
        <f t="shared" ref="X32:AM32" si="14">SUM(X3:X25)</f>
        <v>19</v>
      </c>
      <c r="Y32" s="72">
        <f t="shared" si="14"/>
        <v>9</v>
      </c>
      <c r="Z32" s="72">
        <f t="shared" si="14"/>
        <v>1</v>
      </c>
      <c r="AA32" s="73">
        <f t="shared" si="14"/>
        <v>9</v>
      </c>
      <c r="AB32" s="66">
        <f t="shared" si="14"/>
        <v>10</v>
      </c>
      <c r="AC32" s="66">
        <f t="shared" si="14"/>
        <v>6</v>
      </c>
      <c r="AD32" s="66">
        <f t="shared" si="14"/>
        <v>1</v>
      </c>
      <c r="AE32" s="66">
        <f t="shared" si="14"/>
        <v>3</v>
      </c>
      <c r="AF32" s="75">
        <f t="shared" si="14"/>
        <v>9</v>
      </c>
      <c r="AG32" s="75">
        <f t="shared" si="14"/>
        <v>3</v>
      </c>
      <c r="AH32" s="75">
        <f t="shared" si="14"/>
        <v>0</v>
      </c>
      <c r="AI32" s="75">
        <f t="shared" si="14"/>
        <v>6</v>
      </c>
      <c r="AJ32" s="72">
        <f t="shared" si="14"/>
        <v>0</v>
      </c>
      <c r="AK32" s="72">
        <f t="shared" si="14"/>
        <v>0</v>
      </c>
      <c r="AL32" s="72">
        <f t="shared" si="14"/>
        <v>0</v>
      </c>
      <c r="AM32" s="72">
        <f t="shared" si="14"/>
        <v>0</v>
      </c>
    </row>
    <row r="33" spans="1:1" x14ac:dyDescent="0.25">
      <c r="A33" s="551" t="s">
        <v>276</v>
      </c>
    </row>
    <row r="34" spans="1:1" x14ac:dyDescent="0.25">
      <c r="A34" s="551" t="s">
        <v>254</v>
      </c>
    </row>
    <row r="35" spans="1:1" x14ac:dyDescent="0.25">
      <c r="A35" s="558" t="s">
        <v>280</v>
      </c>
    </row>
    <row r="36" spans="1:1" ht="16.3" x14ac:dyDescent="0.3">
      <c r="A36" s="475" t="s">
        <v>47</v>
      </c>
    </row>
  </sheetData>
  <mergeCells count="16">
    <mergeCell ref="AB1:AE1"/>
    <mergeCell ref="AF1:AI1"/>
    <mergeCell ref="AJ1:AM1"/>
    <mergeCell ref="C26:E26"/>
    <mergeCell ref="C27:E27"/>
    <mergeCell ref="A1:D1"/>
    <mergeCell ref="E1:G1"/>
    <mergeCell ref="H1:I1"/>
    <mergeCell ref="J1:M1"/>
    <mergeCell ref="N1:O1"/>
    <mergeCell ref="P1:R1"/>
    <mergeCell ref="C29:E29"/>
    <mergeCell ref="C30:E30"/>
    <mergeCell ref="C31:E31"/>
    <mergeCell ref="C28:E28"/>
    <mergeCell ref="X1:AA1"/>
  </mergeCells>
  <pageMargins left="0.7" right="0.7" top="0.75" bottom="0.75" header="0.3" footer="0.3"/>
  <ignoredErrors>
    <ignoredError sqref="S7 S9 S17:S19" twoDigitTextYear="1"/>
    <ignoredError sqref="S32:W32 F26:AM28 F29:AM30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8093E-A2D8-4E08-9168-9F922E2C27C3}">
  <dimension ref="A1:AP32"/>
  <sheetViews>
    <sheetView zoomScale="90" zoomScaleNormal="90" workbookViewId="0">
      <selection activeCell="Q21" sqref="Q21"/>
    </sheetView>
  </sheetViews>
  <sheetFormatPr defaultRowHeight="14.3" x14ac:dyDescent="0.25"/>
  <cols>
    <col min="1" max="1" width="9.75" customWidth="1"/>
    <col min="2" max="2" width="5.75" customWidth="1"/>
    <col min="3" max="3" width="13.625" customWidth="1"/>
    <col min="4" max="18" width="3.75" customWidth="1"/>
    <col min="19" max="19" width="5.75" customWidth="1"/>
    <col min="20" max="20" width="16.25" bestFit="1" customWidth="1"/>
    <col min="21" max="21" width="5.125" bestFit="1" customWidth="1"/>
    <col min="22" max="22" width="15.625" bestFit="1" customWidth="1"/>
    <col min="23" max="23" width="16.25" bestFit="1" customWidth="1"/>
    <col min="24" max="39" width="3.75" customWidth="1"/>
    <col min="40" max="40" width="1.625" customWidth="1"/>
    <col min="41" max="41" width="12.75" bestFit="1" customWidth="1"/>
  </cols>
  <sheetData>
    <row r="1" spans="1:42" ht="14.95" customHeight="1" thickBot="1" x14ac:dyDescent="0.3">
      <c r="A1" s="791" t="s">
        <v>236</v>
      </c>
      <c r="B1" s="792"/>
      <c r="C1" s="792"/>
      <c r="D1" s="793"/>
      <c r="E1" s="794" t="s">
        <v>36</v>
      </c>
      <c r="F1" s="795"/>
      <c r="G1" s="796"/>
      <c r="H1" s="794" t="s">
        <v>35</v>
      </c>
      <c r="I1" s="796"/>
      <c r="J1" s="797" t="s">
        <v>16</v>
      </c>
      <c r="K1" s="798"/>
      <c r="L1" s="798"/>
      <c r="M1" s="799"/>
      <c r="N1" s="797" t="s">
        <v>17</v>
      </c>
      <c r="O1" s="799"/>
      <c r="P1" s="797" t="s">
        <v>38</v>
      </c>
      <c r="Q1" s="798"/>
      <c r="R1" s="799"/>
      <c r="S1" s="219" t="s">
        <v>18</v>
      </c>
      <c r="T1" s="220" t="s">
        <v>19</v>
      </c>
      <c r="U1" s="221" t="s">
        <v>20</v>
      </c>
      <c r="V1" s="221" t="s">
        <v>44</v>
      </c>
      <c r="W1" s="222" t="s">
        <v>45</v>
      </c>
      <c r="X1" s="788" t="s">
        <v>30</v>
      </c>
      <c r="Y1" s="789"/>
      <c r="Z1" s="789"/>
      <c r="AA1" s="790"/>
      <c r="AB1" s="788" t="s">
        <v>31</v>
      </c>
      <c r="AC1" s="789"/>
      <c r="AD1" s="789"/>
      <c r="AE1" s="790"/>
      <c r="AF1" s="788" t="s">
        <v>32</v>
      </c>
      <c r="AG1" s="789"/>
      <c r="AH1" s="789"/>
      <c r="AI1" s="789"/>
      <c r="AJ1" s="788" t="s">
        <v>48</v>
      </c>
      <c r="AK1" s="789"/>
      <c r="AL1" s="789"/>
      <c r="AM1" s="790"/>
      <c r="AO1" s="443" t="s">
        <v>202</v>
      </c>
    </row>
    <row r="2" spans="1:42" ht="14.95" customHeight="1" thickBot="1" x14ac:dyDescent="0.3">
      <c r="A2" s="223" t="s">
        <v>28</v>
      </c>
      <c r="B2" s="224" t="s">
        <v>27</v>
      </c>
      <c r="C2" s="225" t="s">
        <v>26</v>
      </c>
      <c r="D2" s="225" t="s">
        <v>37</v>
      </c>
      <c r="E2" s="226" t="s">
        <v>25</v>
      </c>
      <c r="F2" s="226" t="s">
        <v>11</v>
      </c>
      <c r="G2" s="226" t="s">
        <v>12</v>
      </c>
      <c r="H2" s="417" t="s">
        <v>33</v>
      </c>
      <c r="I2" s="227" t="s">
        <v>34</v>
      </c>
      <c r="J2" s="227" t="s">
        <v>21</v>
      </c>
      <c r="K2" s="227" t="s">
        <v>22</v>
      </c>
      <c r="L2" s="227" t="s">
        <v>9</v>
      </c>
      <c r="M2" s="227" t="s">
        <v>23</v>
      </c>
      <c r="N2" s="227" t="s">
        <v>24</v>
      </c>
      <c r="O2" s="227" t="s">
        <v>25</v>
      </c>
      <c r="P2" s="227" t="s">
        <v>33</v>
      </c>
      <c r="Q2" s="227" t="s">
        <v>34</v>
      </c>
      <c r="R2" s="227" t="s">
        <v>21</v>
      </c>
      <c r="S2" s="228"/>
      <c r="T2" s="229"/>
      <c r="U2" s="228"/>
      <c r="V2" s="418"/>
      <c r="W2" s="230"/>
      <c r="X2" s="231" t="s">
        <v>7</v>
      </c>
      <c r="Y2" s="231" t="s">
        <v>8</v>
      </c>
      <c r="Z2" s="231" t="s">
        <v>9</v>
      </c>
      <c r="AA2" s="231" t="s">
        <v>10</v>
      </c>
      <c r="AB2" s="231" t="s">
        <v>7</v>
      </c>
      <c r="AC2" s="231" t="s">
        <v>8</v>
      </c>
      <c r="AD2" s="231" t="s">
        <v>9</v>
      </c>
      <c r="AE2" s="231" t="s">
        <v>10</v>
      </c>
      <c r="AF2" s="231" t="s">
        <v>7</v>
      </c>
      <c r="AG2" s="231" t="s">
        <v>8</v>
      </c>
      <c r="AH2" s="231" t="s">
        <v>9</v>
      </c>
      <c r="AI2" s="231" t="s">
        <v>10</v>
      </c>
      <c r="AJ2" s="231" t="s">
        <v>7</v>
      </c>
      <c r="AK2" s="231" t="s">
        <v>8</v>
      </c>
      <c r="AL2" s="231" t="s">
        <v>9</v>
      </c>
      <c r="AM2" s="231" t="s">
        <v>10</v>
      </c>
      <c r="AO2" s="319" t="s">
        <v>197</v>
      </c>
      <c r="AP2" s="1"/>
    </row>
    <row r="3" spans="1:42" ht="14.95" customHeight="1" thickBot="1" x14ac:dyDescent="0.3">
      <c r="A3" s="552" t="s">
        <v>374</v>
      </c>
      <c r="B3" s="530" t="s">
        <v>260</v>
      </c>
      <c r="C3" s="530" t="s">
        <v>49</v>
      </c>
      <c r="D3" s="531" t="s">
        <v>154</v>
      </c>
      <c r="E3" s="531" t="s">
        <v>10</v>
      </c>
      <c r="F3" s="531">
        <v>7</v>
      </c>
      <c r="G3" s="531">
        <v>58</v>
      </c>
      <c r="H3" s="531">
        <v>0</v>
      </c>
      <c r="I3" s="531">
        <v>0</v>
      </c>
      <c r="J3" s="531">
        <v>1</v>
      </c>
      <c r="K3" s="531">
        <v>1</v>
      </c>
      <c r="L3" s="531">
        <v>0</v>
      </c>
      <c r="M3" s="531">
        <v>0</v>
      </c>
      <c r="N3" s="531">
        <v>2</v>
      </c>
      <c r="O3" s="531">
        <v>0</v>
      </c>
      <c r="P3" s="531">
        <v>1</v>
      </c>
      <c r="Q3" s="531">
        <v>0</v>
      </c>
      <c r="R3" s="531">
        <v>10</v>
      </c>
      <c r="S3" s="642" t="s">
        <v>423</v>
      </c>
      <c r="T3" s="532"/>
      <c r="U3" s="533"/>
      <c r="V3" s="562"/>
      <c r="W3" s="534"/>
      <c r="X3" s="535">
        <v>1</v>
      </c>
      <c r="Y3" s="535">
        <v>0</v>
      </c>
      <c r="Z3" s="535">
        <v>0</v>
      </c>
      <c r="AA3" s="536">
        <v>1</v>
      </c>
      <c r="AB3" s="535">
        <v>1</v>
      </c>
      <c r="AC3" s="535">
        <v>0</v>
      </c>
      <c r="AD3" s="535">
        <v>0</v>
      </c>
      <c r="AE3" s="536">
        <v>1</v>
      </c>
      <c r="AF3" s="535">
        <v>0</v>
      </c>
      <c r="AG3" s="535">
        <v>0</v>
      </c>
      <c r="AH3" s="535">
        <v>0</v>
      </c>
      <c r="AI3" s="537">
        <v>0</v>
      </c>
      <c r="AJ3" s="535">
        <v>0</v>
      </c>
      <c r="AK3" s="535">
        <v>0</v>
      </c>
      <c r="AL3" s="535">
        <v>0</v>
      </c>
      <c r="AM3" s="537">
        <v>0</v>
      </c>
      <c r="AO3" s="435" t="s">
        <v>64</v>
      </c>
      <c r="AP3" s="436">
        <f>leicesterPWRhistplayed</f>
        <v>45</v>
      </c>
    </row>
    <row r="4" spans="1:42" ht="14.95" customHeight="1" thickBot="1" x14ac:dyDescent="0.3">
      <c r="A4" s="553" t="s">
        <v>424</v>
      </c>
      <c r="B4" s="530" t="s">
        <v>260</v>
      </c>
      <c r="C4" s="530" t="s">
        <v>540</v>
      </c>
      <c r="D4" s="531" t="s">
        <v>375</v>
      </c>
      <c r="E4" s="531" t="s">
        <v>10</v>
      </c>
      <c r="F4" s="531">
        <v>12</v>
      </c>
      <c r="G4" s="531">
        <v>69</v>
      </c>
      <c r="H4" s="531">
        <v>0</v>
      </c>
      <c r="I4" s="531">
        <v>0</v>
      </c>
      <c r="J4" s="531">
        <v>2</v>
      </c>
      <c r="K4" s="531">
        <v>1</v>
      </c>
      <c r="L4" s="531">
        <v>0</v>
      </c>
      <c r="M4" s="531">
        <v>0</v>
      </c>
      <c r="N4" s="531">
        <v>0</v>
      </c>
      <c r="O4" s="531">
        <v>0</v>
      </c>
      <c r="P4" s="531">
        <v>1</v>
      </c>
      <c r="Q4" s="531">
        <v>0</v>
      </c>
      <c r="R4" s="531">
        <v>11</v>
      </c>
      <c r="S4" s="614" t="s">
        <v>426</v>
      </c>
      <c r="T4" s="532" t="s">
        <v>285</v>
      </c>
      <c r="U4" s="533" t="s">
        <v>50</v>
      </c>
      <c r="V4" s="562" t="s">
        <v>295</v>
      </c>
      <c r="W4" s="534" t="s">
        <v>293</v>
      </c>
      <c r="X4" s="535">
        <v>1</v>
      </c>
      <c r="Y4" s="535">
        <v>0</v>
      </c>
      <c r="Z4" s="535">
        <v>0</v>
      </c>
      <c r="AA4" s="536">
        <v>1</v>
      </c>
      <c r="AB4" s="535">
        <v>1</v>
      </c>
      <c r="AC4" s="535">
        <v>0</v>
      </c>
      <c r="AD4" s="535">
        <v>0</v>
      </c>
      <c r="AE4" s="536">
        <v>1</v>
      </c>
      <c r="AF4" s="535">
        <v>0</v>
      </c>
      <c r="AG4" s="535">
        <v>0</v>
      </c>
      <c r="AH4" s="535">
        <v>0</v>
      </c>
      <c r="AI4" s="537">
        <v>0</v>
      </c>
      <c r="AJ4" s="535">
        <v>0</v>
      </c>
      <c r="AK4" s="535">
        <v>0</v>
      </c>
      <c r="AL4" s="535">
        <v>0</v>
      </c>
      <c r="AM4" s="537">
        <v>0</v>
      </c>
      <c r="AO4" s="373" t="s">
        <v>65</v>
      </c>
      <c r="AP4" s="437">
        <f>leicesterPWRhistwon</f>
        <v>5</v>
      </c>
    </row>
    <row r="5" spans="1:42" ht="14.95" customHeight="1" thickBot="1" x14ac:dyDescent="0.3">
      <c r="A5" s="550" t="s">
        <v>273</v>
      </c>
      <c r="B5" s="541" t="s">
        <v>260</v>
      </c>
      <c r="C5" s="541" t="s">
        <v>3</v>
      </c>
      <c r="D5" s="542" t="s">
        <v>12</v>
      </c>
      <c r="E5" s="542" t="s">
        <v>10</v>
      </c>
      <c r="F5" s="542">
        <v>0</v>
      </c>
      <c r="G5" s="542">
        <v>50</v>
      </c>
      <c r="H5" s="542">
        <v>0</v>
      </c>
      <c r="I5" s="542">
        <v>0</v>
      </c>
      <c r="J5" s="542">
        <v>0</v>
      </c>
      <c r="K5" s="542">
        <v>0</v>
      </c>
      <c r="L5" s="542">
        <v>0</v>
      </c>
      <c r="M5" s="542">
        <v>0</v>
      </c>
      <c r="N5" s="542">
        <v>1</v>
      </c>
      <c r="O5" s="542">
        <v>0</v>
      </c>
      <c r="P5" s="542">
        <v>1</v>
      </c>
      <c r="Q5" s="542">
        <v>0</v>
      </c>
      <c r="R5" s="542">
        <v>8</v>
      </c>
      <c r="S5" s="557" t="s">
        <v>427</v>
      </c>
      <c r="T5" s="544" t="s">
        <v>285</v>
      </c>
      <c r="U5" s="545" t="s">
        <v>50</v>
      </c>
      <c r="V5" s="613" t="s">
        <v>438</v>
      </c>
      <c r="W5" s="546" t="s">
        <v>290</v>
      </c>
      <c r="X5" s="547">
        <v>1</v>
      </c>
      <c r="Y5" s="547">
        <v>0</v>
      </c>
      <c r="Z5" s="547">
        <v>0</v>
      </c>
      <c r="AA5" s="548">
        <v>1</v>
      </c>
      <c r="AB5" s="547">
        <v>0</v>
      </c>
      <c r="AC5" s="547">
        <v>0</v>
      </c>
      <c r="AD5" s="547">
        <v>0</v>
      </c>
      <c r="AE5" s="548">
        <v>0</v>
      </c>
      <c r="AF5" s="547">
        <v>1</v>
      </c>
      <c r="AG5" s="547">
        <v>0</v>
      </c>
      <c r="AH5" s="547">
        <v>0</v>
      </c>
      <c r="AI5" s="549">
        <v>1</v>
      </c>
      <c r="AJ5" s="547">
        <v>0</v>
      </c>
      <c r="AK5" s="547">
        <v>0</v>
      </c>
      <c r="AL5" s="547">
        <v>0</v>
      </c>
      <c r="AM5" s="549">
        <v>0</v>
      </c>
      <c r="AO5" s="373" t="s">
        <v>192</v>
      </c>
      <c r="AP5" s="437">
        <f>leicesterPWRhistdrawn</f>
        <v>0</v>
      </c>
    </row>
    <row r="6" spans="1:42" ht="14.95" customHeight="1" thickBot="1" x14ac:dyDescent="0.3">
      <c r="A6" s="550" t="s">
        <v>262</v>
      </c>
      <c r="B6" s="541" t="s">
        <v>260</v>
      </c>
      <c r="C6" s="541" t="s">
        <v>1</v>
      </c>
      <c r="D6" s="542" t="s">
        <v>12</v>
      </c>
      <c r="E6" s="542" t="s">
        <v>10</v>
      </c>
      <c r="F6" s="542">
        <v>7</v>
      </c>
      <c r="G6" s="542">
        <v>68</v>
      </c>
      <c r="H6" s="542">
        <v>0</v>
      </c>
      <c r="I6" s="542">
        <v>0</v>
      </c>
      <c r="J6" s="542">
        <v>1</v>
      </c>
      <c r="K6" s="542">
        <v>1</v>
      </c>
      <c r="L6" s="542">
        <v>0</v>
      </c>
      <c r="M6" s="542">
        <v>0</v>
      </c>
      <c r="N6" s="542">
        <v>0</v>
      </c>
      <c r="O6" s="542">
        <v>0</v>
      </c>
      <c r="P6" s="542">
        <v>1</v>
      </c>
      <c r="Q6" s="542">
        <v>0</v>
      </c>
      <c r="R6" s="542">
        <v>10</v>
      </c>
      <c r="S6" s="557" t="s">
        <v>428</v>
      </c>
      <c r="T6" s="544" t="s">
        <v>294</v>
      </c>
      <c r="U6" s="545" t="s">
        <v>50</v>
      </c>
      <c r="V6" s="613" t="s">
        <v>298</v>
      </c>
      <c r="W6" s="546" t="s">
        <v>284</v>
      </c>
      <c r="X6" s="547">
        <v>1</v>
      </c>
      <c r="Y6" s="547">
        <v>0</v>
      </c>
      <c r="Z6" s="547">
        <v>0</v>
      </c>
      <c r="AA6" s="548">
        <v>1</v>
      </c>
      <c r="AB6" s="547">
        <v>0</v>
      </c>
      <c r="AC6" s="547">
        <v>0</v>
      </c>
      <c r="AD6" s="547">
        <v>0</v>
      </c>
      <c r="AE6" s="548">
        <v>0</v>
      </c>
      <c r="AF6" s="547">
        <v>1</v>
      </c>
      <c r="AG6" s="547">
        <v>0</v>
      </c>
      <c r="AH6" s="547">
        <v>0</v>
      </c>
      <c r="AI6" s="549">
        <v>1</v>
      </c>
      <c r="AJ6" s="547">
        <v>0</v>
      </c>
      <c r="AK6" s="547">
        <v>0</v>
      </c>
      <c r="AL6" s="547">
        <v>0</v>
      </c>
      <c r="AM6" s="549">
        <v>0</v>
      </c>
      <c r="AO6" s="373" t="s">
        <v>66</v>
      </c>
      <c r="AP6" s="437">
        <f>leicesterPWRhistlost</f>
        <v>40</v>
      </c>
    </row>
    <row r="7" spans="1:42" ht="14.95" customHeight="1" thickBot="1" x14ac:dyDescent="0.3">
      <c r="A7" s="495" t="s">
        <v>240</v>
      </c>
      <c r="B7" s="147" t="s">
        <v>73</v>
      </c>
      <c r="C7" s="147" t="s">
        <v>3</v>
      </c>
      <c r="D7" s="148" t="s">
        <v>12</v>
      </c>
      <c r="E7" s="148" t="s">
        <v>10</v>
      </c>
      <c r="F7" s="148">
        <v>17</v>
      </c>
      <c r="G7" s="148">
        <v>46</v>
      </c>
      <c r="H7" s="148">
        <v>0</v>
      </c>
      <c r="I7" s="148">
        <v>0</v>
      </c>
      <c r="J7" s="453">
        <v>3</v>
      </c>
      <c r="K7" s="453">
        <v>0</v>
      </c>
      <c r="L7" s="453">
        <v>0</v>
      </c>
      <c r="M7" s="453">
        <v>0</v>
      </c>
      <c r="N7" s="453">
        <v>1</v>
      </c>
      <c r="O7" s="453">
        <v>0</v>
      </c>
      <c r="P7" s="453">
        <v>1</v>
      </c>
      <c r="Q7" s="453">
        <v>0</v>
      </c>
      <c r="R7" s="453">
        <v>8</v>
      </c>
      <c r="S7" s="163" t="s">
        <v>316</v>
      </c>
      <c r="T7" s="149" t="s">
        <v>294</v>
      </c>
      <c r="U7" s="150" t="s">
        <v>50</v>
      </c>
      <c r="V7" s="164" t="s">
        <v>290</v>
      </c>
      <c r="W7" s="151" t="s">
        <v>295</v>
      </c>
      <c r="X7" s="486">
        <v>1</v>
      </c>
      <c r="Y7" s="486">
        <v>0</v>
      </c>
      <c r="Z7" s="486">
        <v>0</v>
      </c>
      <c r="AA7" s="487">
        <v>1</v>
      </c>
      <c r="AB7" s="486">
        <v>0</v>
      </c>
      <c r="AC7" s="486">
        <v>0</v>
      </c>
      <c r="AD7" s="486">
        <v>0</v>
      </c>
      <c r="AE7" s="487">
        <v>0</v>
      </c>
      <c r="AF7" s="486">
        <v>1</v>
      </c>
      <c r="AG7" s="486">
        <v>0</v>
      </c>
      <c r="AH7" s="486">
        <v>0</v>
      </c>
      <c r="AI7" s="488">
        <v>1</v>
      </c>
      <c r="AJ7" s="486">
        <v>0</v>
      </c>
      <c r="AK7" s="486">
        <v>0</v>
      </c>
      <c r="AL7" s="486">
        <v>0</v>
      </c>
      <c r="AM7" s="488">
        <v>0</v>
      </c>
      <c r="AO7" s="373" t="s">
        <v>193</v>
      </c>
      <c r="AP7" s="437">
        <f>leicesterPWRhistptsfor</f>
        <v>719</v>
      </c>
    </row>
    <row r="8" spans="1:42" ht="14.95" customHeight="1" thickBot="1" x14ac:dyDescent="0.3">
      <c r="A8" s="493" t="s">
        <v>243</v>
      </c>
      <c r="B8" s="152" t="s">
        <v>73</v>
      </c>
      <c r="C8" s="152" t="s">
        <v>49</v>
      </c>
      <c r="D8" s="153" t="s">
        <v>153</v>
      </c>
      <c r="E8" s="153" t="s">
        <v>10</v>
      </c>
      <c r="F8" s="153">
        <v>0</v>
      </c>
      <c r="G8" s="153">
        <v>74</v>
      </c>
      <c r="H8" s="153">
        <v>0</v>
      </c>
      <c r="I8" s="153">
        <v>0</v>
      </c>
      <c r="J8" s="454">
        <v>0</v>
      </c>
      <c r="K8" s="454">
        <v>0</v>
      </c>
      <c r="L8" s="454">
        <v>0</v>
      </c>
      <c r="M8" s="454">
        <v>0</v>
      </c>
      <c r="N8" s="454">
        <v>0</v>
      </c>
      <c r="O8" s="454">
        <v>0</v>
      </c>
      <c r="P8" s="454">
        <v>1</v>
      </c>
      <c r="Q8" s="454">
        <v>0</v>
      </c>
      <c r="R8" s="454">
        <v>12</v>
      </c>
      <c r="S8" s="497" t="s">
        <v>352</v>
      </c>
      <c r="T8" s="338" t="s">
        <v>296</v>
      </c>
      <c r="U8" s="339" t="s">
        <v>50</v>
      </c>
      <c r="V8" s="158" t="s">
        <v>290</v>
      </c>
      <c r="W8" s="340" t="s">
        <v>293</v>
      </c>
      <c r="X8" s="490">
        <v>1</v>
      </c>
      <c r="Y8" s="490">
        <v>0</v>
      </c>
      <c r="Z8" s="490">
        <v>0</v>
      </c>
      <c r="AA8" s="491">
        <v>1</v>
      </c>
      <c r="AB8" s="490">
        <v>1</v>
      </c>
      <c r="AC8" s="490">
        <v>0</v>
      </c>
      <c r="AD8" s="490">
        <v>0</v>
      </c>
      <c r="AE8" s="491">
        <v>1</v>
      </c>
      <c r="AF8" s="490">
        <v>0</v>
      </c>
      <c r="AG8" s="490">
        <v>0</v>
      </c>
      <c r="AH8" s="490">
        <v>0</v>
      </c>
      <c r="AI8" s="492">
        <v>0</v>
      </c>
      <c r="AJ8" s="490">
        <v>0</v>
      </c>
      <c r="AK8" s="490">
        <v>0</v>
      </c>
      <c r="AL8" s="490">
        <v>0</v>
      </c>
      <c r="AM8" s="492">
        <v>0</v>
      </c>
      <c r="AO8" s="373" t="s">
        <v>194</v>
      </c>
      <c r="AP8" s="437">
        <f>leicesterPWRhistptsaga</f>
        <v>2119</v>
      </c>
    </row>
    <row r="9" spans="1:42" ht="14.95" customHeight="1" thickBot="1" x14ac:dyDescent="0.3">
      <c r="A9" s="161" t="s">
        <v>242</v>
      </c>
      <c r="B9" s="162" t="s">
        <v>73</v>
      </c>
      <c r="C9" s="147" t="s">
        <v>1</v>
      </c>
      <c r="D9" s="148" t="s">
        <v>12</v>
      </c>
      <c r="E9" s="148" t="s">
        <v>10</v>
      </c>
      <c r="F9" s="148">
        <v>5</v>
      </c>
      <c r="G9" s="148">
        <v>79</v>
      </c>
      <c r="H9" s="148">
        <v>0</v>
      </c>
      <c r="I9" s="148">
        <v>0</v>
      </c>
      <c r="J9" s="453">
        <v>1</v>
      </c>
      <c r="K9" s="453">
        <v>0</v>
      </c>
      <c r="L9" s="453">
        <v>0</v>
      </c>
      <c r="M9" s="453">
        <v>0</v>
      </c>
      <c r="N9" s="453">
        <v>2</v>
      </c>
      <c r="O9" s="453">
        <v>0</v>
      </c>
      <c r="P9" s="453">
        <v>1</v>
      </c>
      <c r="Q9" s="453">
        <v>0</v>
      </c>
      <c r="R9" s="453">
        <v>13</v>
      </c>
      <c r="S9" s="163" t="s">
        <v>446</v>
      </c>
      <c r="T9" s="149" t="s">
        <v>444</v>
      </c>
      <c r="U9" s="150" t="s">
        <v>50</v>
      </c>
      <c r="V9" s="151" t="s">
        <v>445</v>
      </c>
      <c r="W9" s="164" t="s">
        <v>295</v>
      </c>
      <c r="X9" s="164">
        <v>1</v>
      </c>
      <c r="Y9" s="164">
        <v>0</v>
      </c>
      <c r="Z9" s="164">
        <v>0</v>
      </c>
      <c r="AA9" s="165">
        <v>1</v>
      </c>
      <c r="AB9" s="164">
        <v>0</v>
      </c>
      <c r="AC9" s="164">
        <v>0</v>
      </c>
      <c r="AD9" s="164">
        <v>0</v>
      </c>
      <c r="AE9" s="165">
        <v>0</v>
      </c>
      <c r="AF9" s="164">
        <v>1</v>
      </c>
      <c r="AG9" s="164">
        <v>0</v>
      </c>
      <c r="AH9" s="164">
        <v>0</v>
      </c>
      <c r="AI9" s="166">
        <v>1</v>
      </c>
      <c r="AJ9" s="164">
        <v>0</v>
      </c>
      <c r="AK9" s="164">
        <v>0</v>
      </c>
      <c r="AL9" s="164">
        <v>0</v>
      </c>
      <c r="AM9" s="166">
        <v>0</v>
      </c>
    </row>
    <row r="10" spans="1:42" ht="14.95" customHeight="1" thickBot="1" x14ac:dyDescent="0.3">
      <c r="A10" s="334" t="s">
        <v>243</v>
      </c>
      <c r="B10" s="162" t="s">
        <v>73</v>
      </c>
      <c r="C10" s="335" t="s">
        <v>540</v>
      </c>
      <c r="D10" s="336" t="s">
        <v>12</v>
      </c>
      <c r="E10" s="336" t="s">
        <v>10</v>
      </c>
      <c r="F10" s="336">
        <v>15</v>
      </c>
      <c r="G10" s="336">
        <v>50</v>
      </c>
      <c r="H10" s="336">
        <v>0</v>
      </c>
      <c r="I10" s="336">
        <v>0</v>
      </c>
      <c r="J10" s="455">
        <v>3</v>
      </c>
      <c r="K10" s="455">
        <v>0</v>
      </c>
      <c r="L10" s="455">
        <v>0</v>
      </c>
      <c r="M10" s="455">
        <v>0</v>
      </c>
      <c r="N10" s="455">
        <v>0</v>
      </c>
      <c r="O10" s="455">
        <v>0</v>
      </c>
      <c r="P10" s="455">
        <v>1</v>
      </c>
      <c r="Q10" s="455">
        <v>0</v>
      </c>
      <c r="R10" s="455">
        <v>8</v>
      </c>
      <c r="S10" s="171" t="s">
        <v>476</v>
      </c>
      <c r="T10" s="172" t="s">
        <v>469</v>
      </c>
      <c r="U10" s="164" t="s">
        <v>50</v>
      </c>
      <c r="V10" s="164" t="s">
        <v>470</v>
      </c>
      <c r="W10" s="164" t="s">
        <v>290</v>
      </c>
      <c r="X10" s="164">
        <v>1</v>
      </c>
      <c r="Y10" s="164">
        <v>0</v>
      </c>
      <c r="Z10" s="164">
        <v>0</v>
      </c>
      <c r="AA10" s="164">
        <v>1</v>
      </c>
      <c r="AB10" s="164">
        <v>0</v>
      </c>
      <c r="AC10" s="164">
        <v>0</v>
      </c>
      <c r="AD10" s="164">
        <v>0</v>
      </c>
      <c r="AE10" s="164">
        <v>0</v>
      </c>
      <c r="AF10" s="164">
        <v>1</v>
      </c>
      <c r="AG10" s="164">
        <v>0</v>
      </c>
      <c r="AH10" s="164">
        <v>0</v>
      </c>
      <c r="AI10" s="172">
        <v>1</v>
      </c>
      <c r="AJ10" s="164">
        <v>0</v>
      </c>
      <c r="AK10" s="164">
        <v>0</v>
      </c>
      <c r="AL10" s="164">
        <v>0</v>
      </c>
      <c r="AM10" s="172">
        <v>0</v>
      </c>
    </row>
    <row r="11" spans="1:42" ht="14.95" customHeight="1" thickBot="1" x14ac:dyDescent="0.3">
      <c r="A11" s="154" t="s">
        <v>163</v>
      </c>
      <c r="B11" s="155" t="s">
        <v>73</v>
      </c>
      <c r="C11" s="152" t="s">
        <v>0</v>
      </c>
      <c r="D11" s="153" t="s">
        <v>153</v>
      </c>
      <c r="E11" s="153" t="s">
        <v>10</v>
      </c>
      <c r="F11" s="153">
        <v>28</v>
      </c>
      <c r="G11" s="153">
        <v>56</v>
      </c>
      <c r="H11" s="153">
        <v>1</v>
      </c>
      <c r="I11" s="153">
        <v>0</v>
      </c>
      <c r="J11" s="454">
        <v>4</v>
      </c>
      <c r="K11" s="454">
        <v>4</v>
      </c>
      <c r="L11" s="454">
        <v>0</v>
      </c>
      <c r="M11" s="454">
        <v>0</v>
      </c>
      <c r="N11" s="454">
        <v>1</v>
      </c>
      <c r="O11" s="454">
        <v>0</v>
      </c>
      <c r="P11" s="454">
        <v>1</v>
      </c>
      <c r="Q11" s="454">
        <v>0</v>
      </c>
      <c r="R11" s="454">
        <v>8</v>
      </c>
      <c r="S11" s="175" t="s">
        <v>435</v>
      </c>
      <c r="T11" s="157" t="s">
        <v>291</v>
      </c>
      <c r="U11" s="158" t="s">
        <v>50</v>
      </c>
      <c r="V11" s="158" t="s">
        <v>293</v>
      </c>
      <c r="W11" s="160" t="s">
        <v>295</v>
      </c>
      <c r="X11" s="158">
        <v>1</v>
      </c>
      <c r="Y11" s="158">
        <v>0</v>
      </c>
      <c r="Z11" s="158">
        <v>0</v>
      </c>
      <c r="AA11" s="158">
        <v>1</v>
      </c>
      <c r="AB11" s="158">
        <v>1</v>
      </c>
      <c r="AC11" s="158">
        <v>0</v>
      </c>
      <c r="AD11" s="158">
        <v>0</v>
      </c>
      <c r="AE11" s="158">
        <v>1</v>
      </c>
      <c r="AF11" s="158">
        <v>0</v>
      </c>
      <c r="AG11" s="158">
        <v>0</v>
      </c>
      <c r="AH11" s="158">
        <v>0</v>
      </c>
      <c r="AI11" s="157">
        <v>0</v>
      </c>
      <c r="AJ11" s="158">
        <v>0</v>
      </c>
      <c r="AK11" s="158">
        <v>0</v>
      </c>
      <c r="AL11" s="158">
        <v>0</v>
      </c>
      <c r="AM11" s="157">
        <v>0</v>
      </c>
    </row>
    <row r="12" spans="1:42" ht="14.95" customHeight="1" thickBot="1" x14ac:dyDescent="0.3">
      <c r="A12" s="161" t="s">
        <v>244</v>
      </c>
      <c r="B12" s="162" t="s">
        <v>73</v>
      </c>
      <c r="C12" s="147" t="s">
        <v>100</v>
      </c>
      <c r="D12" s="148" t="s">
        <v>12</v>
      </c>
      <c r="E12" s="148" t="s">
        <v>10</v>
      </c>
      <c r="F12" s="148">
        <v>10</v>
      </c>
      <c r="G12" s="148">
        <v>57</v>
      </c>
      <c r="H12" s="148">
        <v>0</v>
      </c>
      <c r="I12" s="148">
        <v>0</v>
      </c>
      <c r="J12" s="453">
        <v>2</v>
      </c>
      <c r="K12" s="453">
        <v>0</v>
      </c>
      <c r="L12" s="453">
        <v>0</v>
      </c>
      <c r="M12" s="453">
        <v>0</v>
      </c>
      <c r="N12" s="453">
        <v>2</v>
      </c>
      <c r="O12" s="453">
        <v>0</v>
      </c>
      <c r="P12" s="453">
        <v>1</v>
      </c>
      <c r="Q12" s="453">
        <v>0</v>
      </c>
      <c r="R12" s="453">
        <v>9</v>
      </c>
      <c r="S12" s="171" t="s">
        <v>426</v>
      </c>
      <c r="T12" s="172" t="s">
        <v>294</v>
      </c>
      <c r="U12" s="164" t="s">
        <v>50</v>
      </c>
      <c r="V12" s="164" t="s">
        <v>384</v>
      </c>
      <c r="W12" s="166" t="s">
        <v>520</v>
      </c>
      <c r="X12" s="164">
        <v>1</v>
      </c>
      <c r="Y12" s="164">
        <v>0</v>
      </c>
      <c r="Z12" s="164">
        <v>0</v>
      </c>
      <c r="AA12" s="164">
        <v>1</v>
      </c>
      <c r="AB12" s="164">
        <v>0</v>
      </c>
      <c r="AC12" s="164">
        <v>0</v>
      </c>
      <c r="AD12" s="164">
        <v>0</v>
      </c>
      <c r="AE12" s="164">
        <v>0</v>
      </c>
      <c r="AF12" s="164">
        <v>1</v>
      </c>
      <c r="AG12" s="164">
        <v>0</v>
      </c>
      <c r="AH12" s="164">
        <v>0</v>
      </c>
      <c r="AI12" s="172">
        <v>1</v>
      </c>
      <c r="AJ12" s="164">
        <v>0</v>
      </c>
      <c r="AK12" s="164">
        <v>0</v>
      </c>
      <c r="AL12" s="164">
        <v>0</v>
      </c>
      <c r="AM12" s="172">
        <v>0</v>
      </c>
    </row>
    <row r="13" spans="1:42" ht="14.95" customHeight="1" thickBot="1" x14ac:dyDescent="0.3">
      <c r="A13" s="154" t="s">
        <v>162</v>
      </c>
      <c r="B13" s="155" t="s">
        <v>73</v>
      </c>
      <c r="C13" s="152" t="s">
        <v>63</v>
      </c>
      <c r="D13" s="153" t="s">
        <v>153</v>
      </c>
      <c r="E13" s="153" t="s">
        <v>10</v>
      </c>
      <c r="F13" s="153">
        <v>12</v>
      </c>
      <c r="G13" s="153">
        <v>75</v>
      </c>
      <c r="H13" s="153">
        <v>0</v>
      </c>
      <c r="I13" s="153">
        <v>0</v>
      </c>
      <c r="J13" s="454">
        <v>2</v>
      </c>
      <c r="K13" s="454">
        <v>0</v>
      </c>
      <c r="L13" s="454">
        <v>0</v>
      </c>
      <c r="M13" s="454">
        <v>0</v>
      </c>
      <c r="N13" s="454">
        <v>0</v>
      </c>
      <c r="O13" s="454">
        <v>0</v>
      </c>
      <c r="P13" s="454">
        <v>1</v>
      </c>
      <c r="Q13" s="454">
        <v>0</v>
      </c>
      <c r="R13" s="454">
        <v>11</v>
      </c>
      <c r="S13" s="175" t="s">
        <v>552</v>
      </c>
      <c r="T13" s="157" t="s">
        <v>326</v>
      </c>
      <c r="U13" s="158" t="s">
        <v>50</v>
      </c>
      <c r="V13" s="158" t="s">
        <v>283</v>
      </c>
      <c r="W13" s="160" t="s">
        <v>545</v>
      </c>
      <c r="X13" s="158">
        <v>1</v>
      </c>
      <c r="Y13" s="158">
        <v>0</v>
      </c>
      <c r="Z13" s="158">
        <v>0</v>
      </c>
      <c r="AA13" s="158">
        <v>1</v>
      </c>
      <c r="AB13" s="158">
        <v>1</v>
      </c>
      <c r="AC13" s="158">
        <v>0</v>
      </c>
      <c r="AD13" s="158">
        <v>0</v>
      </c>
      <c r="AE13" s="158">
        <v>1</v>
      </c>
      <c r="AF13" s="158">
        <v>0</v>
      </c>
      <c r="AG13" s="158">
        <v>0</v>
      </c>
      <c r="AH13" s="158">
        <v>0</v>
      </c>
      <c r="AI13" s="157">
        <v>0</v>
      </c>
      <c r="AJ13" s="158">
        <v>0</v>
      </c>
      <c r="AK13" s="158">
        <v>0</v>
      </c>
      <c r="AL13" s="158">
        <v>0</v>
      </c>
      <c r="AM13" s="157">
        <v>0</v>
      </c>
    </row>
    <row r="14" spans="1:42" ht="14.95" customHeight="1" thickBot="1" x14ac:dyDescent="0.3">
      <c r="A14" s="161" t="s">
        <v>508</v>
      </c>
      <c r="B14" s="162" t="s">
        <v>73</v>
      </c>
      <c r="C14" s="147" t="s">
        <v>4</v>
      </c>
      <c r="D14" s="148" t="s">
        <v>12</v>
      </c>
      <c r="E14" s="148" t="s">
        <v>10</v>
      </c>
      <c r="F14" s="148">
        <v>0</v>
      </c>
      <c r="G14" s="148">
        <v>36</v>
      </c>
      <c r="H14" s="148">
        <v>0</v>
      </c>
      <c r="I14" s="148">
        <v>0</v>
      </c>
      <c r="J14" s="453">
        <v>0</v>
      </c>
      <c r="K14" s="453">
        <v>0</v>
      </c>
      <c r="L14" s="453">
        <v>0</v>
      </c>
      <c r="M14" s="453">
        <v>0</v>
      </c>
      <c r="N14" s="453">
        <v>0</v>
      </c>
      <c r="O14" s="453">
        <v>0</v>
      </c>
      <c r="P14" s="453">
        <v>1</v>
      </c>
      <c r="Q14" s="453">
        <v>0</v>
      </c>
      <c r="R14" s="453">
        <v>6</v>
      </c>
      <c r="S14" s="670" t="s">
        <v>305</v>
      </c>
      <c r="T14" s="173" t="s">
        <v>559</v>
      </c>
      <c r="U14" s="174" t="s">
        <v>50</v>
      </c>
      <c r="V14" s="164" t="s">
        <v>560</v>
      </c>
      <c r="W14" s="166" t="s">
        <v>287</v>
      </c>
      <c r="X14" s="164">
        <v>1</v>
      </c>
      <c r="Y14" s="164">
        <v>0</v>
      </c>
      <c r="Z14" s="164">
        <v>0</v>
      </c>
      <c r="AA14" s="164">
        <v>1</v>
      </c>
      <c r="AB14" s="164">
        <v>0</v>
      </c>
      <c r="AC14" s="164">
        <v>0</v>
      </c>
      <c r="AD14" s="164">
        <v>0</v>
      </c>
      <c r="AE14" s="164">
        <v>0</v>
      </c>
      <c r="AF14" s="164">
        <v>1</v>
      </c>
      <c r="AG14" s="164">
        <v>0</v>
      </c>
      <c r="AH14" s="164">
        <v>0</v>
      </c>
      <c r="AI14" s="172">
        <v>1</v>
      </c>
      <c r="AJ14" s="164">
        <v>0</v>
      </c>
      <c r="AK14" s="164">
        <v>0</v>
      </c>
      <c r="AL14" s="164">
        <v>0</v>
      </c>
      <c r="AM14" s="172">
        <v>0</v>
      </c>
    </row>
    <row r="15" spans="1:42" ht="14.95" customHeight="1" thickBot="1" x14ac:dyDescent="0.3">
      <c r="A15" s="154" t="s">
        <v>510</v>
      </c>
      <c r="B15" s="155" t="s">
        <v>73</v>
      </c>
      <c r="C15" s="152" t="s">
        <v>1</v>
      </c>
      <c r="D15" s="153" t="s">
        <v>153</v>
      </c>
      <c r="E15" s="153" t="s">
        <v>10</v>
      </c>
      <c r="F15" s="153">
        <v>0</v>
      </c>
      <c r="G15" s="153">
        <v>81</v>
      </c>
      <c r="H15" s="153">
        <v>0</v>
      </c>
      <c r="I15" s="153">
        <v>0</v>
      </c>
      <c r="J15" s="454">
        <v>0</v>
      </c>
      <c r="K15" s="454">
        <v>0</v>
      </c>
      <c r="L15" s="454">
        <v>0</v>
      </c>
      <c r="M15" s="454">
        <v>0</v>
      </c>
      <c r="N15" s="454">
        <v>1</v>
      </c>
      <c r="O15" s="454">
        <v>0</v>
      </c>
      <c r="P15" s="454">
        <v>1</v>
      </c>
      <c r="Q15" s="454">
        <v>0</v>
      </c>
      <c r="R15" s="454">
        <v>13</v>
      </c>
      <c r="S15" s="175" t="s">
        <v>584</v>
      </c>
      <c r="T15" s="157" t="s">
        <v>378</v>
      </c>
      <c r="U15" s="158" t="s">
        <v>50</v>
      </c>
      <c r="V15" s="158" t="s">
        <v>448</v>
      </c>
      <c r="W15" s="160" t="s">
        <v>290</v>
      </c>
      <c r="X15" s="158">
        <v>1</v>
      </c>
      <c r="Y15" s="158">
        <v>0</v>
      </c>
      <c r="Z15" s="158">
        <v>0</v>
      </c>
      <c r="AA15" s="158">
        <v>1</v>
      </c>
      <c r="AB15" s="158">
        <v>1</v>
      </c>
      <c r="AC15" s="158">
        <v>0</v>
      </c>
      <c r="AD15" s="158">
        <v>0</v>
      </c>
      <c r="AE15" s="158">
        <v>1</v>
      </c>
      <c r="AF15" s="158">
        <v>0</v>
      </c>
      <c r="AG15" s="158">
        <v>0</v>
      </c>
      <c r="AH15" s="158">
        <v>0</v>
      </c>
      <c r="AI15" s="157">
        <v>0</v>
      </c>
      <c r="AJ15" s="158">
        <v>0</v>
      </c>
      <c r="AK15" s="158">
        <v>0</v>
      </c>
      <c r="AL15" s="158">
        <v>0</v>
      </c>
      <c r="AM15" s="157">
        <v>0</v>
      </c>
    </row>
    <row r="16" spans="1:42" ht="14.95" customHeight="1" thickBot="1" x14ac:dyDescent="0.3">
      <c r="A16" s="154" t="s">
        <v>513</v>
      </c>
      <c r="B16" s="155" t="s">
        <v>73</v>
      </c>
      <c r="C16" s="152" t="s">
        <v>100</v>
      </c>
      <c r="D16" s="153" t="s">
        <v>153</v>
      </c>
      <c r="E16" s="153" t="s">
        <v>10</v>
      </c>
      <c r="F16" s="153">
        <v>19</v>
      </c>
      <c r="G16" s="153">
        <v>40</v>
      </c>
      <c r="H16" s="153">
        <v>0</v>
      </c>
      <c r="I16" s="153">
        <v>0</v>
      </c>
      <c r="J16" s="454">
        <v>3</v>
      </c>
      <c r="K16" s="454">
        <v>2</v>
      </c>
      <c r="L16" s="454">
        <v>0</v>
      </c>
      <c r="M16" s="454">
        <v>0</v>
      </c>
      <c r="N16" s="454">
        <v>1</v>
      </c>
      <c r="O16" s="454">
        <v>0</v>
      </c>
      <c r="P16" s="454">
        <v>1</v>
      </c>
      <c r="Q16" s="454">
        <v>0</v>
      </c>
      <c r="R16" s="454">
        <v>6</v>
      </c>
      <c r="S16" s="175" t="s">
        <v>396</v>
      </c>
      <c r="T16" s="157" t="s">
        <v>468</v>
      </c>
      <c r="U16" s="158" t="s">
        <v>50</v>
      </c>
      <c r="V16" s="158" t="s">
        <v>609</v>
      </c>
      <c r="W16" s="160" t="s">
        <v>384</v>
      </c>
      <c r="X16" s="158">
        <v>1</v>
      </c>
      <c r="Y16" s="158">
        <v>0</v>
      </c>
      <c r="Z16" s="158">
        <v>0</v>
      </c>
      <c r="AA16" s="158">
        <v>1</v>
      </c>
      <c r="AB16" s="158">
        <v>1</v>
      </c>
      <c r="AC16" s="158">
        <v>0</v>
      </c>
      <c r="AD16" s="158">
        <v>0</v>
      </c>
      <c r="AE16" s="158">
        <v>1</v>
      </c>
      <c r="AF16" s="158">
        <v>0</v>
      </c>
      <c r="AG16" s="158">
        <v>0</v>
      </c>
      <c r="AH16" s="158">
        <v>0</v>
      </c>
      <c r="AI16" s="157">
        <v>0</v>
      </c>
      <c r="AJ16" s="158">
        <v>0</v>
      </c>
      <c r="AK16" s="158">
        <v>0</v>
      </c>
      <c r="AL16" s="158">
        <v>0</v>
      </c>
      <c r="AM16" s="157">
        <v>0</v>
      </c>
    </row>
    <row r="17" spans="1:39" ht="14.95" customHeight="1" thickBot="1" x14ac:dyDescent="0.3">
      <c r="A17" s="161" t="s">
        <v>516</v>
      </c>
      <c r="B17" s="162" t="s">
        <v>73</v>
      </c>
      <c r="C17" s="147" t="s">
        <v>49</v>
      </c>
      <c r="D17" s="148" t="s">
        <v>12</v>
      </c>
      <c r="E17" s="148" t="s">
        <v>10</v>
      </c>
      <c r="F17" s="148">
        <v>0</v>
      </c>
      <c r="G17" s="148">
        <v>68</v>
      </c>
      <c r="H17" s="148">
        <v>0</v>
      </c>
      <c r="I17" s="148">
        <v>0</v>
      </c>
      <c r="J17" s="453">
        <v>0</v>
      </c>
      <c r="K17" s="453">
        <v>0</v>
      </c>
      <c r="L17" s="453">
        <v>0</v>
      </c>
      <c r="M17" s="453">
        <v>0</v>
      </c>
      <c r="N17" s="453">
        <v>1</v>
      </c>
      <c r="O17" s="453">
        <v>0</v>
      </c>
      <c r="P17" s="453">
        <v>1</v>
      </c>
      <c r="Q17" s="453">
        <v>0</v>
      </c>
      <c r="R17" s="453">
        <v>10</v>
      </c>
      <c r="S17" s="171" t="s">
        <v>352</v>
      </c>
      <c r="T17" s="172" t="s">
        <v>326</v>
      </c>
      <c r="U17" s="164" t="s">
        <v>50</v>
      </c>
      <c r="V17" s="164" t="s">
        <v>294</v>
      </c>
      <c r="W17" s="166" t="s">
        <v>292</v>
      </c>
      <c r="X17" s="164">
        <v>1</v>
      </c>
      <c r="Y17" s="164">
        <v>0</v>
      </c>
      <c r="Z17" s="164">
        <v>0</v>
      </c>
      <c r="AA17" s="164">
        <v>1</v>
      </c>
      <c r="AB17" s="164">
        <v>0</v>
      </c>
      <c r="AC17" s="164">
        <v>0</v>
      </c>
      <c r="AD17" s="164">
        <v>0</v>
      </c>
      <c r="AE17" s="164">
        <v>0</v>
      </c>
      <c r="AF17" s="164">
        <v>1</v>
      </c>
      <c r="AG17" s="164">
        <v>0</v>
      </c>
      <c r="AH17" s="164">
        <v>0</v>
      </c>
      <c r="AI17" s="172">
        <v>1</v>
      </c>
      <c r="AJ17" s="164">
        <v>0</v>
      </c>
      <c r="AK17" s="164">
        <v>0</v>
      </c>
      <c r="AL17" s="164">
        <v>0</v>
      </c>
      <c r="AM17" s="172">
        <v>0</v>
      </c>
    </row>
    <row r="18" spans="1:39" ht="14.95" customHeight="1" thickBot="1" x14ac:dyDescent="0.3">
      <c r="A18" s="177" t="s">
        <v>518</v>
      </c>
      <c r="B18" s="155" t="s">
        <v>73</v>
      </c>
      <c r="C18" s="152" t="s">
        <v>3</v>
      </c>
      <c r="D18" s="153" t="s">
        <v>153</v>
      </c>
      <c r="E18" s="153" t="s">
        <v>10</v>
      </c>
      <c r="F18" s="153">
        <v>3</v>
      </c>
      <c r="G18" s="153">
        <v>62</v>
      </c>
      <c r="H18" s="153">
        <v>0</v>
      </c>
      <c r="I18" s="153">
        <v>0</v>
      </c>
      <c r="J18" s="454">
        <v>0</v>
      </c>
      <c r="K18" s="454">
        <v>0</v>
      </c>
      <c r="L18" s="454">
        <v>0</v>
      </c>
      <c r="M18" s="454">
        <v>1</v>
      </c>
      <c r="N18" s="454">
        <v>1</v>
      </c>
      <c r="O18" s="454">
        <v>0</v>
      </c>
      <c r="P18" s="454">
        <v>1</v>
      </c>
      <c r="Q18" s="454">
        <v>0</v>
      </c>
      <c r="R18" s="454">
        <v>10</v>
      </c>
      <c r="S18" s="175" t="s">
        <v>649</v>
      </c>
      <c r="T18" s="157" t="s">
        <v>291</v>
      </c>
      <c r="U18" s="158" t="s">
        <v>50</v>
      </c>
      <c r="V18" s="158" t="s">
        <v>611</v>
      </c>
      <c r="W18" s="160" t="s">
        <v>384</v>
      </c>
      <c r="X18" s="158">
        <v>1</v>
      </c>
      <c r="Y18" s="158">
        <v>0</v>
      </c>
      <c r="Z18" s="158">
        <v>0</v>
      </c>
      <c r="AA18" s="158">
        <v>1</v>
      </c>
      <c r="AB18" s="158">
        <v>1</v>
      </c>
      <c r="AC18" s="158">
        <v>0</v>
      </c>
      <c r="AD18" s="158">
        <v>0</v>
      </c>
      <c r="AE18" s="158">
        <v>1</v>
      </c>
      <c r="AF18" s="158">
        <v>0</v>
      </c>
      <c r="AG18" s="158">
        <v>0</v>
      </c>
      <c r="AH18" s="158">
        <v>0</v>
      </c>
      <c r="AI18" s="157">
        <v>0</v>
      </c>
      <c r="AJ18" s="158">
        <v>0</v>
      </c>
      <c r="AK18" s="158">
        <v>0</v>
      </c>
      <c r="AL18" s="158">
        <v>0</v>
      </c>
      <c r="AM18" s="157">
        <v>0</v>
      </c>
    </row>
    <row r="19" spans="1:39" ht="14.95" customHeight="1" thickBot="1" x14ac:dyDescent="0.3">
      <c r="A19" s="177" t="s">
        <v>127</v>
      </c>
      <c r="B19" s="155" t="s">
        <v>73</v>
      </c>
      <c r="C19" s="152" t="s">
        <v>4</v>
      </c>
      <c r="D19" s="153" t="s">
        <v>153</v>
      </c>
      <c r="E19" s="153" t="s">
        <v>10</v>
      </c>
      <c r="F19" s="153">
        <v>0</v>
      </c>
      <c r="G19" s="153">
        <v>43</v>
      </c>
      <c r="H19" s="153">
        <v>0</v>
      </c>
      <c r="I19" s="153">
        <v>0</v>
      </c>
      <c r="J19" s="454">
        <v>0</v>
      </c>
      <c r="K19" s="454">
        <v>0</v>
      </c>
      <c r="L19" s="454">
        <v>0</v>
      </c>
      <c r="M19" s="454">
        <v>0</v>
      </c>
      <c r="N19" s="454">
        <v>0</v>
      </c>
      <c r="O19" s="454">
        <v>0</v>
      </c>
      <c r="P19" s="454">
        <v>1</v>
      </c>
      <c r="Q19" s="454">
        <v>0</v>
      </c>
      <c r="R19" s="454">
        <v>7</v>
      </c>
      <c r="S19" s="175" t="s">
        <v>665</v>
      </c>
      <c r="T19" s="157" t="s">
        <v>326</v>
      </c>
      <c r="U19" s="158" t="s">
        <v>50</v>
      </c>
      <c r="V19" s="158" t="s">
        <v>295</v>
      </c>
      <c r="W19" s="160" t="s">
        <v>655</v>
      </c>
      <c r="X19" s="158">
        <v>1</v>
      </c>
      <c r="Y19" s="158">
        <v>0</v>
      </c>
      <c r="Z19" s="158">
        <v>0</v>
      </c>
      <c r="AA19" s="158">
        <v>1</v>
      </c>
      <c r="AB19" s="158">
        <v>1</v>
      </c>
      <c r="AC19" s="158">
        <v>0</v>
      </c>
      <c r="AD19" s="158">
        <v>0</v>
      </c>
      <c r="AE19" s="158">
        <v>1</v>
      </c>
      <c r="AF19" s="158">
        <v>0</v>
      </c>
      <c r="AG19" s="158">
        <v>0</v>
      </c>
      <c r="AH19" s="158">
        <v>0</v>
      </c>
      <c r="AI19" s="157">
        <v>0</v>
      </c>
      <c r="AJ19" s="158">
        <v>0</v>
      </c>
      <c r="AK19" s="158">
        <v>0</v>
      </c>
      <c r="AL19" s="158">
        <v>0</v>
      </c>
      <c r="AM19" s="157">
        <v>0</v>
      </c>
    </row>
    <row r="20" spans="1:39" ht="14.95" customHeight="1" thickBot="1" x14ac:dyDescent="0.3">
      <c r="A20" s="178" t="s">
        <v>127</v>
      </c>
      <c r="B20" s="162" t="s">
        <v>73</v>
      </c>
      <c r="C20" s="147" t="s">
        <v>63</v>
      </c>
      <c r="D20" s="148" t="s">
        <v>12</v>
      </c>
      <c r="E20" s="148"/>
      <c r="F20" s="148"/>
      <c r="G20" s="148"/>
      <c r="H20" s="148"/>
      <c r="I20" s="148"/>
      <c r="J20" s="453"/>
      <c r="K20" s="453"/>
      <c r="L20" s="453"/>
      <c r="M20" s="453"/>
      <c r="N20" s="453"/>
      <c r="O20" s="453"/>
      <c r="P20" s="453"/>
      <c r="Q20" s="453"/>
      <c r="R20" s="453"/>
      <c r="S20" s="171"/>
      <c r="T20" s="172"/>
      <c r="U20" s="164"/>
      <c r="V20" s="164"/>
      <c r="W20" s="166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72"/>
      <c r="AJ20" s="164"/>
      <c r="AK20" s="164"/>
      <c r="AL20" s="164"/>
      <c r="AM20" s="172"/>
    </row>
    <row r="21" spans="1:39" ht="14.95" customHeight="1" thickBot="1" x14ac:dyDescent="0.35">
      <c r="A21" s="178" t="s">
        <v>127</v>
      </c>
      <c r="B21" s="162" t="s">
        <v>73</v>
      </c>
      <c r="C21" s="147" t="s">
        <v>0</v>
      </c>
      <c r="D21" s="148" t="s">
        <v>12</v>
      </c>
      <c r="E21" s="148"/>
      <c r="F21" s="148"/>
      <c r="G21" s="148"/>
      <c r="H21" s="148"/>
      <c r="I21" s="148"/>
      <c r="J21" s="453"/>
      <c r="K21" s="453"/>
      <c r="L21" s="453"/>
      <c r="M21" s="453"/>
      <c r="N21" s="453"/>
      <c r="O21" s="453"/>
      <c r="P21" s="453"/>
      <c r="Q21" s="453"/>
      <c r="R21" s="453"/>
      <c r="S21" s="176"/>
      <c r="T21" s="172"/>
      <c r="U21" s="164"/>
      <c r="V21" s="164"/>
      <c r="W21" s="166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72"/>
      <c r="AJ21" s="164"/>
      <c r="AK21" s="164"/>
      <c r="AL21" s="164"/>
      <c r="AM21" s="172"/>
    </row>
    <row r="22" spans="1:39" ht="14.95" customHeight="1" thickBot="1" x14ac:dyDescent="0.3">
      <c r="A22" s="177" t="s">
        <v>248</v>
      </c>
      <c r="B22" s="155" t="s">
        <v>73</v>
      </c>
      <c r="C22" s="152" t="s">
        <v>540</v>
      </c>
      <c r="D22" s="153" t="s">
        <v>153</v>
      </c>
      <c r="E22" s="153"/>
      <c r="F22" s="153"/>
      <c r="G22" s="153"/>
      <c r="H22" s="153"/>
      <c r="I22" s="153"/>
      <c r="J22" s="454"/>
      <c r="K22" s="454"/>
      <c r="L22" s="454"/>
      <c r="M22" s="454"/>
      <c r="N22" s="454"/>
      <c r="O22" s="454"/>
      <c r="P22" s="454"/>
      <c r="Q22" s="454"/>
      <c r="R22" s="454"/>
      <c r="S22" s="367"/>
      <c r="T22" s="157"/>
      <c r="U22" s="158"/>
      <c r="V22" s="158"/>
      <c r="W22" s="160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7"/>
      <c r="AJ22" s="158"/>
      <c r="AK22" s="158"/>
      <c r="AL22" s="158"/>
      <c r="AM22" s="157"/>
    </row>
    <row r="23" spans="1:39" ht="14.95" customHeight="1" thickBot="1" x14ac:dyDescent="0.3">
      <c r="A23" s="120"/>
      <c r="B23" s="121"/>
      <c r="C23" s="741" t="s">
        <v>74</v>
      </c>
      <c r="D23" s="742"/>
      <c r="E23" s="743"/>
      <c r="F23" s="122">
        <f t="shared" ref="F23:R23" si="0">SUM(F7:F22)</f>
        <v>109</v>
      </c>
      <c r="G23" s="122">
        <f t="shared" si="0"/>
        <v>767</v>
      </c>
      <c r="H23" s="122">
        <f t="shared" si="0"/>
        <v>1</v>
      </c>
      <c r="I23" s="122">
        <f t="shared" si="0"/>
        <v>0</v>
      </c>
      <c r="J23" s="122">
        <f t="shared" si="0"/>
        <v>18</v>
      </c>
      <c r="K23" s="122">
        <f t="shared" si="0"/>
        <v>6</v>
      </c>
      <c r="L23" s="122">
        <f t="shared" si="0"/>
        <v>0</v>
      </c>
      <c r="M23" s="122">
        <f t="shared" si="0"/>
        <v>1</v>
      </c>
      <c r="N23" s="122">
        <f t="shared" si="0"/>
        <v>10</v>
      </c>
      <c r="O23" s="122">
        <f t="shared" si="0"/>
        <v>0</v>
      </c>
      <c r="P23" s="122">
        <f t="shared" si="0"/>
        <v>13</v>
      </c>
      <c r="Q23" s="122">
        <f t="shared" si="0"/>
        <v>0</v>
      </c>
      <c r="R23" s="122">
        <f t="shared" si="0"/>
        <v>121</v>
      </c>
      <c r="S23" s="123"/>
      <c r="T23" s="123"/>
      <c r="U23" s="124"/>
      <c r="V23" s="124"/>
      <c r="W23" s="125" t="s">
        <v>74</v>
      </c>
      <c r="X23" s="122">
        <f t="shared" ref="X23:AM23" si="1">SUM(X7:X22)</f>
        <v>13</v>
      </c>
      <c r="Y23" s="122">
        <f t="shared" si="1"/>
        <v>0</v>
      </c>
      <c r="Z23" s="122">
        <f t="shared" si="1"/>
        <v>0</v>
      </c>
      <c r="AA23" s="122">
        <f t="shared" si="1"/>
        <v>13</v>
      </c>
      <c r="AB23" s="126">
        <f t="shared" si="1"/>
        <v>7</v>
      </c>
      <c r="AC23" s="126">
        <f t="shared" si="1"/>
        <v>0</v>
      </c>
      <c r="AD23" s="126">
        <f t="shared" si="1"/>
        <v>0</v>
      </c>
      <c r="AE23" s="126">
        <f t="shared" si="1"/>
        <v>7</v>
      </c>
      <c r="AF23" s="127">
        <f t="shared" si="1"/>
        <v>6</v>
      </c>
      <c r="AG23" s="127">
        <f t="shared" si="1"/>
        <v>0</v>
      </c>
      <c r="AH23" s="127">
        <f t="shared" si="1"/>
        <v>0</v>
      </c>
      <c r="AI23" s="127">
        <f t="shared" si="1"/>
        <v>6</v>
      </c>
      <c r="AJ23" s="122">
        <f t="shared" si="1"/>
        <v>0</v>
      </c>
      <c r="AK23" s="122">
        <f t="shared" si="1"/>
        <v>0</v>
      </c>
      <c r="AL23" s="122">
        <f t="shared" si="1"/>
        <v>0</v>
      </c>
      <c r="AM23" s="122">
        <f t="shared" si="1"/>
        <v>0</v>
      </c>
    </row>
    <row r="24" spans="1:39" ht="14.95" customHeight="1" thickBot="1" x14ac:dyDescent="0.3">
      <c r="A24" s="128"/>
      <c r="B24" s="128"/>
      <c r="C24" s="741" t="s">
        <v>75</v>
      </c>
      <c r="D24" s="742"/>
      <c r="E24" s="743"/>
      <c r="F24" s="122">
        <v>0</v>
      </c>
      <c r="G24" s="122">
        <v>0</v>
      </c>
      <c r="H24" s="129" t="s">
        <v>42</v>
      </c>
      <c r="I24" s="129" t="s">
        <v>42</v>
      </c>
      <c r="J24" s="122">
        <v>0</v>
      </c>
      <c r="K24" s="122">
        <v>0</v>
      </c>
      <c r="L24" s="122">
        <v>0</v>
      </c>
      <c r="M24" s="122">
        <v>0</v>
      </c>
      <c r="N24" s="122">
        <v>0</v>
      </c>
      <c r="O24" s="122">
        <v>0</v>
      </c>
      <c r="P24" s="129" t="s">
        <v>42</v>
      </c>
      <c r="Q24" s="129" t="s">
        <v>42</v>
      </c>
      <c r="R24" s="122">
        <v>0</v>
      </c>
      <c r="S24" s="123"/>
      <c r="T24" s="123"/>
      <c r="U24" s="123"/>
      <c r="V24" s="124"/>
      <c r="W24" s="125" t="s">
        <v>75</v>
      </c>
      <c r="X24" s="122">
        <v>0</v>
      </c>
      <c r="Y24" s="122">
        <v>0</v>
      </c>
      <c r="Z24" s="122">
        <v>0</v>
      </c>
      <c r="AA24" s="122">
        <v>0</v>
      </c>
      <c r="AB24" s="126">
        <v>0</v>
      </c>
      <c r="AC24" s="126">
        <v>0</v>
      </c>
      <c r="AD24" s="126">
        <v>0</v>
      </c>
      <c r="AE24" s="126">
        <v>0</v>
      </c>
      <c r="AF24" s="130">
        <v>0</v>
      </c>
      <c r="AG24" s="130">
        <v>0</v>
      </c>
      <c r="AH24" s="130">
        <v>0</v>
      </c>
      <c r="AI24" s="130">
        <v>0</v>
      </c>
      <c r="AJ24" s="122">
        <v>0</v>
      </c>
      <c r="AK24" s="122">
        <v>0</v>
      </c>
      <c r="AL24" s="122">
        <v>0</v>
      </c>
      <c r="AM24" s="122">
        <v>0</v>
      </c>
    </row>
    <row r="25" spans="1:39" ht="14.95" customHeight="1" thickBot="1" x14ac:dyDescent="0.3">
      <c r="A25" s="128"/>
      <c r="B25" s="128"/>
      <c r="C25" s="741" t="s">
        <v>76</v>
      </c>
      <c r="D25" s="742"/>
      <c r="E25" s="743"/>
      <c r="F25" s="122">
        <f>SUM(F23+F24)</f>
        <v>109</v>
      </c>
      <c r="G25" s="122">
        <f t="shared" ref="G25:R25" si="2">SUM(G23+G24)</f>
        <v>767</v>
      </c>
      <c r="H25" s="122">
        <f>H23</f>
        <v>1</v>
      </c>
      <c r="I25" s="122">
        <f>I23</f>
        <v>0</v>
      </c>
      <c r="J25" s="122">
        <f t="shared" si="2"/>
        <v>18</v>
      </c>
      <c r="K25" s="122">
        <f t="shared" si="2"/>
        <v>6</v>
      </c>
      <c r="L25" s="122">
        <f t="shared" si="2"/>
        <v>0</v>
      </c>
      <c r="M25" s="122">
        <f t="shared" si="2"/>
        <v>1</v>
      </c>
      <c r="N25" s="122">
        <f t="shared" si="2"/>
        <v>10</v>
      </c>
      <c r="O25" s="122">
        <f t="shared" si="2"/>
        <v>0</v>
      </c>
      <c r="P25" s="122">
        <f t="shared" ref="P25:Q25" si="3">P23</f>
        <v>13</v>
      </c>
      <c r="Q25" s="122">
        <f t="shared" si="3"/>
        <v>0</v>
      </c>
      <c r="R25" s="122">
        <f t="shared" si="2"/>
        <v>121</v>
      </c>
      <c r="S25" s="123"/>
      <c r="T25" s="123"/>
      <c r="U25" s="123"/>
      <c r="V25" s="124"/>
      <c r="W25" s="125" t="s">
        <v>76</v>
      </c>
      <c r="X25" s="122">
        <f t="shared" ref="X25:AM25" si="4">SUM(X23+X24)</f>
        <v>13</v>
      </c>
      <c r="Y25" s="122">
        <f t="shared" si="4"/>
        <v>0</v>
      </c>
      <c r="Z25" s="122">
        <f t="shared" si="4"/>
        <v>0</v>
      </c>
      <c r="AA25" s="122">
        <f t="shared" si="4"/>
        <v>13</v>
      </c>
      <c r="AB25" s="126">
        <f t="shared" si="4"/>
        <v>7</v>
      </c>
      <c r="AC25" s="126">
        <f t="shared" si="4"/>
        <v>0</v>
      </c>
      <c r="AD25" s="126">
        <f t="shared" si="4"/>
        <v>0</v>
      </c>
      <c r="AE25" s="126">
        <f t="shared" si="4"/>
        <v>7</v>
      </c>
      <c r="AF25" s="127">
        <f t="shared" si="4"/>
        <v>6</v>
      </c>
      <c r="AG25" s="127">
        <f t="shared" si="4"/>
        <v>0</v>
      </c>
      <c r="AH25" s="127">
        <f t="shared" si="4"/>
        <v>0</v>
      </c>
      <c r="AI25" s="127">
        <f t="shared" si="4"/>
        <v>6</v>
      </c>
      <c r="AJ25" s="122">
        <f t="shared" si="4"/>
        <v>0</v>
      </c>
      <c r="AK25" s="122">
        <f t="shared" si="4"/>
        <v>0</v>
      </c>
      <c r="AL25" s="122">
        <f t="shared" si="4"/>
        <v>0</v>
      </c>
      <c r="AM25" s="122">
        <f t="shared" si="4"/>
        <v>0</v>
      </c>
    </row>
    <row r="26" spans="1:39" ht="14.95" customHeight="1" thickBot="1" x14ac:dyDescent="0.3">
      <c r="A26" s="34"/>
      <c r="C26" s="726" t="s">
        <v>441</v>
      </c>
      <c r="D26" s="727"/>
      <c r="E26" s="728"/>
      <c r="F26" s="644">
        <f t="shared" ref="F26:R26" si="5">SUM(F3:F6)</f>
        <v>26</v>
      </c>
      <c r="G26" s="644">
        <f t="shared" si="5"/>
        <v>245</v>
      </c>
      <c r="H26" s="644">
        <f t="shared" si="5"/>
        <v>0</v>
      </c>
      <c r="I26" s="644">
        <f t="shared" si="5"/>
        <v>0</v>
      </c>
      <c r="J26" s="644">
        <f t="shared" si="5"/>
        <v>4</v>
      </c>
      <c r="K26" s="644">
        <f t="shared" si="5"/>
        <v>3</v>
      </c>
      <c r="L26" s="644">
        <f t="shared" si="5"/>
        <v>0</v>
      </c>
      <c r="M26" s="644">
        <f t="shared" si="5"/>
        <v>0</v>
      </c>
      <c r="N26" s="644">
        <f t="shared" si="5"/>
        <v>3</v>
      </c>
      <c r="O26" s="644">
        <f t="shared" si="5"/>
        <v>0</v>
      </c>
      <c r="P26" s="644">
        <f t="shared" si="5"/>
        <v>4</v>
      </c>
      <c r="Q26" s="644">
        <f t="shared" si="5"/>
        <v>0</v>
      </c>
      <c r="R26" s="644">
        <f t="shared" si="5"/>
        <v>39</v>
      </c>
      <c r="S26" s="645"/>
      <c r="T26" s="645"/>
      <c r="U26" s="645"/>
      <c r="V26" s="646"/>
      <c r="W26" s="647" t="s">
        <v>441</v>
      </c>
      <c r="X26" s="644">
        <f t="shared" ref="X26:AM26" si="6">SUM(X3:X6)</f>
        <v>4</v>
      </c>
      <c r="Y26" s="644">
        <f t="shared" si="6"/>
        <v>0</v>
      </c>
      <c r="Z26" s="644">
        <f t="shared" si="6"/>
        <v>0</v>
      </c>
      <c r="AA26" s="644">
        <f t="shared" si="6"/>
        <v>4</v>
      </c>
      <c r="AB26" s="648">
        <f t="shared" si="6"/>
        <v>2</v>
      </c>
      <c r="AC26" s="648">
        <f t="shared" si="6"/>
        <v>0</v>
      </c>
      <c r="AD26" s="648">
        <f t="shared" si="6"/>
        <v>0</v>
      </c>
      <c r="AE26" s="648">
        <f t="shared" si="6"/>
        <v>2</v>
      </c>
      <c r="AF26" s="649">
        <f t="shared" si="6"/>
        <v>2</v>
      </c>
      <c r="AG26" s="649">
        <f t="shared" si="6"/>
        <v>0</v>
      </c>
      <c r="AH26" s="649">
        <f t="shared" si="6"/>
        <v>0</v>
      </c>
      <c r="AI26" s="649">
        <f t="shared" si="6"/>
        <v>2</v>
      </c>
      <c r="AJ26" s="644">
        <f t="shared" si="6"/>
        <v>0</v>
      </c>
      <c r="AK26" s="644">
        <f t="shared" si="6"/>
        <v>0</v>
      </c>
      <c r="AL26" s="644">
        <f t="shared" si="6"/>
        <v>0</v>
      </c>
      <c r="AM26" s="644">
        <f t="shared" si="6"/>
        <v>0</v>
      </c>
    </row>
    <row r="27" spans="1:39" ht="14.95" customHeight="1" thickBot="1" x14ac:dyDescent="0.3">
      <c r="A27" s="501"/>
      <c r="C27" s="726" t="s">
        <v>442</v>
      </c>
      <c r="D27" s="727"/>
      <c r="E27" s="728"/>
      <c r="F27" s="644">
        <v>0</v>
      </c>
      <c r="G27" s="644">
        <v>0</v>
      </c>
      <c r="H27" s="644">
        <v>0</v>
      </c>
      <c r="I27" s="644">
        <v>0</v>
      </c>
      <c r="J27" s="644">
        <v>0</v>
      </c>
      <c r="K27" s="644">
        <v>0</v>
      </c>
      <c r="L27" s="644">
        <v>0</v>
      </c>
      <c r="M27" s="644">
        <v>0</v>
      </c>
      <c r="N27" s="644">
        <v>0</v>
      </c>
      <c r="O27" s="644">
        <v>0</v>
      </c>
      <c r="P27" s="644">
        <v>0</v>
      </c>
      <c r="Q27" s="644">
        <v>0</v>
      </c>
      <c r="R27" s="644">
        <v>0</v>
      </c>
      <c r="S27" s="645"/>
      <c r="T27" s="645"/>
      <c r="U27" s="645"/>
      <c r="V27" s="646"/>
      <c r="W27" s="647" t="s">
        <v>442</v>
      </c>
      <c r="X27" s="644">
        <v>0</v>
      </c>
      <c r="Y27" s="644">
        <v>0</v>
      </c>
      <c r="Z27" s="644">
        <v>0</v>
      </c>
      <c r="AA27" s="644">
        <v>0</v>
      </c>
      <c r="AB27" s="648">
        <v>0</v>
      </c>
      <c r="AC27" s="648">
        <v>0</v>
      </c>
      <c r="AD27" s="648">
        <v>0</v>
      </c>
      <c r="AE27" s="648">
        <v>0</v>
      </c>
      <c r="AF27" s="649">
        <v>0</v>
      </c>
      <c r="AG27" s="649">
        <v>0</v>
      </c>
      <c r="AH27" s="649">
        <v>0</v>
      </c>
      <c r="AI27" s="649">
        <v>0</v>
      </c>
      <c r="AJ27" s="644">
        <v>0</v>
      </c>
      <c r="AK27" s="644">
        <v>0</v>
      </c>
      <c r="AL27" s="644">
        <v>0</v>
      </c>
      <c r="AM27" s="644">
        <v>0</v>
      </c>
    </row>
    <row r="28" spans="1:39" ht="14.95" customHeight="1" thickBot="1" x14ac:dyDescent="0.35">
      <c r="A28" s="475"/>
      <c r="C28" s="726" t="s">
        <v>440</v>
      </c>
      <c r="D28" s="727"/>
      <c r="E28" s="728"/>
      <c r="F28" s="644">
        <f>SUM(F26+F27)</f>
        <v>26</v>
      </c>
      <c r="G28" s="644">
        <f t="shared" ref="G28:R28" si="7">SUM(G26+G27)</f>
        <v>245</v>
      </c>
      <c r="H28" s="644">
        <f t="shared" si="7"/>
        <v>0</v>
      </c>
      <c r="I28" s="644">
        <f t="shared" si="7"/>
        <v>0</v>
      </c>
      <c r="J28" s="644">
        <f t="shared" si="7"/>
        <v>4</v>
      </c>
      <c r="K28" s="644">
        <f t="shared" si="7"/>
        <v>3</v>
      </c>
      <c r="L28" s="644">
        <f t="shared" si="7"/>
        <v>0</v>
      </c>
      <c r="M28" s="644">
        <f t="shared" si="7"/>
        <v>0</v>
      </c>
      <c r="N28" s="644">
        <f t="shared" si="7"/>
        <v>3</v>
      </c>
      <c r="O28" s="644">
        <f t="shared" si="7"/>
        <v>0</v>
      </c>
      <c r="P28" s="644">
        <f t="shared" si="7"/>
        <v>4</v>
      </c>
      <c r="Q28" s="644">
        <f t="shared" si="7"/>
        <v>0</v>
      </c>
      <c r="R28" s="644">
        <f t="shared" si="7"/>
        <v>39</v>
      </c>
      <c r="S28" s="645"/>
      <c r="T28" s="645"/>
      <c r="U28" s="645"/>
      <c r="V28" s="646"/>
      <c r="W28" s="647" t="s">
        <v>440</v>
      </c>
      <c r="X28" s="644">
        <f t="shared" ref="X28:AM28" si="8">SUM(X26+X27)</f>
        <v>4</v>
      </c>
      <c r="Y28" s="644">
        <f t="shared" si="8"/>
        <v>0</v>
      </c>
      <c r="Z28" s="644">
        <f t="shared" si="8"/>
        <v>0</v>
      </c>
      <c r="AA28" s="644">
        <f t="shared" si="8"/>
        <v>4</v>
      </c>
      <c r="AB28" s="648">
        <f t="shared" si="8"/>
        <v>2</v>
      </c>
      <c r="AC28" s="648">
        <f t="shared" si="8"/>
        <v>0</v>
      </c>
      <c r="AD28" s="648">
        <f t="shared" si="8"/>
        <v>0</v>
      </c>
      <c r="AE28" s="648">
        <f t="shared" si="8"/>
        <v>2</v>
      </c>
      <c r="AF28" s="649">
        <f t="shared" si="8"/>
        <v>2</v>
      </c>
      <c r="AG28" s="649">
        <f t="shared" si="8"/>
        <v>0</v>
      </c>
      <c r="AH28" s="649">
        <f t="shared" si="8"/>
        <v>0</v>
      </c>
      <c r="AI28" s="649">
        <f t="shared" si="8"/>
        <v>2</v>
      </c>
      <c r="AJ28" s="644">
        <f t="shared" si="8"/>
        <v>0</v>
      </c>
      <c r="AK28" s="644">
        <f t="shared" si="8"/>
        <v>0</v>
      </c>
      <c r="AL28" s="644">
        <f t="shared" si="8"/>
        <v>0</v>
      </c>
      <c r="AM28" s="644">
        <f t="shared" si="8"/>
        <v>0</v>
      </c>
    </row>
    <row r="29" spans="1:39" ht="14.95" customHeight="1" thickBot="1" x14ac:dyDescent="0.3">
      <c r="A29" s="34"/>
      <c r="C29" s="69" t="s">
        <v>29</v>
      </c>
      <c r="D29" s="70"/>
      <c r="E29" s="71"/>
      <c r="F29" s="72">
        <f t="shared" ref="F29:R29" si="9">SUM(F3:F22)</f>
        <v>135</v>
      </c>
      <c r="G29" s="72">
        <f t="shared" si="9"/>
        <v>1012</v>
      </c>
      <c r="H29" s="72">
        <f t="shared" si="9"/>
        <v>1</v>
      </c>
      <c r="I29" s="73">
        <f t="shared" si="9"/>
        <v>0</v>
      </c>
      <c r="J29" s="72">
        <f t="shared" si="9"/>
        <v>22</v>
      </c>
      <c r="K29" s="72">
        <f t="shared" si="9"/>
        <v>9</v>
      </c>
      <c r="L29" s="72">
        <f t="shared" si="9"/>
        <v>0</v>
      </c>
      <c r="M29" s="72">
        <f t="shared" si="9"/>
        <v>1</v>
      </c>
      <c r="N29" s="72">
        <f t="shared" si="9"/>
        <v>13</v>
      </c>
      <c r="O29" s="72">
        <f t="shared" si="9"/>
        <v>0</v>
      </c>
      <c r="P29" s="72">
        <f t="shared" si="9"/>
        <v>17</v>
      </c>
      <c r="Q29" s="72">
        <f t="shared" si="9"/>
        <v>0</v>
      </c>
      <c r="R29" s="72">
        <f t="shared" si="9"/>
        <v>160</v>
      </c>
      <c r="S29" s="40"/>
      <c r="T29" s="40"/>
      <c r="U29" s="40"/>
      <c r="V29" s="40"/>
      <c r="W29" s="65" t="s">
        <v>29</v>
      </c>
      <c r="X29" s="72">
        <f t="shared" ref="X29:AM29" si="10">SUM(X3:X22)</f>
        <v>17</v>
      </c>
      <c r="Y29" s="72">
        <f t="shared" si="10"/>
        <v>0</v>
      </c>
      <c r="Z29" s="72">
        <f t="shared" si="10"/>
        <v>0</v>
      </c>
      <c r="AA29" s="73">
        <f t="shared" si="10"/>
        <v>17</v>
      </c>
      <c r="AB29" s="66">
        <f t="shared" si="10"/>
        <v>9</v>
      </c>
      <c r="AC29" s="66">
        <f t="shared" si="10"/>
        <v>0</v>
      </c>
      <c r="AD29" s="66">
        <f t="shared" si="10"/>
        <v>0</v>
      </c>
      <c r="AE29" s="66">
        <f t="shared" si="10"/>
        <v>9</v>
      </c>
      <c r="AF29" s="75">
        <f t="shared" si="10"/>
        <v>8</v>
      </c>
      <c r="AG29" s="75">
        <f t="shared" si="10"/>
        <v>0</v>
      </c>
      <c r="AH29" s="75">
        <f t="shared" si="10"/>
        <v>0</v>
      </c>
      <c r="AI29" s="75">
        <f t="shared" si="10"/>
        <v>8</v>
      </c>
      <c r="AJ29" s="72">
        <f t="shared" si="10"/>
        <v>0</v>
      </c>
      <c r="AK29" s="72">
        <f t="shared" si="10"/>
        <v>0</v>
      </c>
      <c r="AL29" s="72">
        <f t="shared" si="10"/>
        <v>0</v>
      </c>
      <c r="AM29" s="72">
        <f t="shared" si="10"/>
        <v>0</v>
      </c>
    </row>
    <row r="30" spans="1:39" ht="14.95" customHeight="1" x14ac:dyDescent="0.25">
      <c r="A30" s="34" t="s">
        <v>425</v>
      </c>
    </row>
    <row r="31" spans="1:39" x14ac:dyDescent="0.25">
      <c r="A31" s="665" t="s">
        <v>551</v>
      </c>
    </row>
    <row r="32" spans="1:39" ht="16.3" x14ac:dyDescent="0.3">
      <c r="A32" s="475" t="s">
        <v>47</v>
      </c>
    </row>
  </sheetData>
  <mergeCells count="16">
    <mergeCell ref="AB1:AE1"/>
    <mergeCell ref="AF1:AI1"/>
    <mergeCell ref="AJ1:AM1"/>
    <mergeCell ref="C23:E23"/>
    <mergeCell ref="C24:E24"/>
    <mergeCell ref="A1:D1"/>
    <mergeCell ref="E1:G1"/>
    <mergeCell ref="H1:I1"/>
    <mergeCell ref="J1:M1"/>
    <mergeCell ref="N1:O1"/>
    <mergeCell ref="P1:R1"/>
    <mergeCell ref="C26:E26"/>
    <mergeCell ref="C27:E27"/>
    <mergeCell ref="C28:E28"/>
    <mergeCell ref="C25:E25"/>
    <mergeCell ref="X1:AA1"/>
  </mergeCells>
  <pageMargins left="0.7" right="0.7" top="0.75" bottom="0.75" header="0.3" footer="0.3"/>
  <pageSetup orientation="portrait" r:id="rId1"/>
  <ignoredErrors>
    <ignoredError sqref="S6:S7 S4 S13 S16 S18" twoDigitTextYear="1"/>
    <ignoredError sqref="F26:AM26 F23:AM23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F980-D2AA-4968-8658-DD8958834296}">
  <dimension ref="A1:AP34"/>
  <sheetViews>
    <sheetView zoomScale="90" zoomScaleNormal="90" workbookViewId="0">
      <selection activeCell="S19" sqref="S19:W19"/>
    </sheetView>
  </sheetViews>
  <sheetFormatPr defaultRowHeight="14.95" customHeight="1" x14ac:dyDescent="0.25"/>
  <cols>
    <col min="1" max="1" width="9.75" customWidth="1"/>
    <col min="2" max="2" width="5.75" customWidth="1"/>
    <col min="3" max="3" width="13.625" customWidth="1"/>
    <col min="4" max="18" width="3.75" customWidth="1"/>
    <col min="19" max="19" width="5.75" customWidth="1"/>
    <col min="20" max="20" width="15.25" bestFit="1" customWidth="1"/>
    <col min="21" max="21" width="14.625" bestFit="1" customWidth="1"/>
    <col min="22" max="22" width="18.5" bestFit="1" customWidth="1"/>
    <col min="23" max="23" width="16.25" bestFit="1" customWidth="1"/>
    <col min="24" max="39" width="3.75" customWidth="1"/>
    <col min="40" max="40" width="1.625" customWidth="1"/>
    <col min="41" max="41" width="12.75" bestFit="1" customWidth="1"/>
    <col min="42" max="42" width="11.375" bestFit="1" customWidth="1"/>
  </cols>
  <sheetData>
    <row r="1" spans="1:42" ht="14.95" customHeight="1" thickBot="1" x14ac:dyDescent="0.3">
      <c r="A1" s="808" t="s">
        <v>539</v>
      </c>
      <c r="B1" s="809"/>
      <c r="C1" s="809"/>
      <c r="D1" s="810"/>
      <c r="E1" s="811" t="s">
        <v>36</v>
      </c>
      <c r="F1" s="812"/>
      <c r="G1" s="813"/>
      <c r="H1" s="811" t="s">
        <v>35</v>
      </c>
      <c r="I1" s="813"/>
      <c r="J1" s="800" t="s">
        <v>16</v>
      </c>
      <c r="K1" s="802"/>
      <c r="L1" s="802"/>
      <c r="M1" s="801"/>
      <c r="N1" s="800" t="s">
        <v>17</v>
      </c>
      <c r="O1" s="801"/>
      <c r="P1" s="800" t="s">
        <v>38</v>
      </c>
      <c r="Q1" s="802"/>
      <c r="R1" s="801"/>
      <c r="S1" s="587" t="s">
        <v>18</v>
      </c>
      <c r="T1" s="588" t="s">
        <v>19</v>
      </c>
      <c r="U1" s="589" t="s">
        <v>20</v>
      </c>
      <c r="V1" s="589" t="s">
        <v>44</v>
      </c>
      <c r="W1" s="590" t="s">
        <v>45</v>
      </c>
      <c r="X1" s="805" t="s">
        <v>30</v>
      </c>
      <c r="Y1" s="806"/>
      <c r="Z1" s="806"/>
      <c r="AA1" s="807"/>
      <c r="AB1" s="805" t="s">
        <v>31</v>
      </c>
      <c r="AC1" s="806"/>
      <c r="AD1" s="806"/>
      <c r="AE1" s="807"/>
      <c r="AF1" s="805" t="s">
        <v>32</v>
      </c>
      <c r="AG1" s="806"/>
      <c r="AH1" s="806"/>
      <c r="AI1" s="806"/>
      <c r="AJ1" s="805" t="s">
        <v>48</v>
      </c>
      <c r="AK1" s="806"/>
      <c r="AL1" s="806"/>
      <c r="AM1" s="807"/>
      <c r="AO1" s="803" t="s">
        <v>540</v>
      </c>
      <c r="AP1" s="804"/>
    </row>
    <row r="2" spans="1:42" ht="14.95" customHeight="1" thickBot="1" x14ac:dyDescent="0.3">
      <c r="A2" s="591" t="s">
        <v>28</v>
      </c>
      <c r="B2" s="592" t="s">
        <v>27</v>
      </c>
      <c r="C2" s="593" t="s">
        <v>26</v>
      </c>
      <c r="D2" s="593" t="s">
        <v>37</v>
      </c>
      <c r="E2" s="594" t="s">
        <v>25</v>
      </c>
      <c r="F2" s="594" t="s">
        <v>11</v>
      </c>
      <c r="G2" s="594" t="s">
        <v>12</v>
      </c>
      <c r="H2" s="595" t="s">
        <v>33</v>
      </c>
      <c r="I2" s="596" t="s">
        <v>34</v>
      </c>
      <c r="J2" s="596" t="s">
        <v>21</v>
      </c>
      <c r="K2" s="596" t="s">
        <v>22</v>
      </c>
      <c r="L2" s="596" t="s">
        <v>9</v>
      </c>
      <c r="M2" s="596" t="s">
        <v>23</v>
      </c>
      <c r="N2" s="596" t="s">
        <v>24</v>
      </c>
      <c r="O2" s="596" t="s">
        <v>25</v>
      </c>
      <c r="P2" s="596" t="s">
        <v>33</v>
      </c>
      <c r="Q2" s="596" t="s">
        <v>34</v>
      </c>
      <c r="R2" s="596" t="s">
        <v>21</v>
      </c>
      <c r="S2" s="597"/>
      <c r="T2" s="598"/>
      <c r="U2" s="597"/>
      <c r="V2" s="597"/>
      <c r="W2" s="599"/>
      <c r="X2" s="600" t="s">
        <v>7</v>
      </c>
      <c r="Y2" s="600" t="s">
        <v>8</v>
      </c>
      <c r="Z2" s="600" t="s">
        <v>9</v>
      </c>
      <c r="AA2" s="600" t="s">
        <v>10</v>
      </c>
      <c r="AB2" s="600" t="s">
        <v>7</v>
      </c>
      <c r="AC2" s="600" t="s">
        <v>8</v>
      </c>
      <c r="AD2" s="600" t="s">
        <v>9</v>
      </c>
      <c r="AE2" s="600" t="s">
        <v>10</v>
      </c>
      <c r="AF2" s="600" t="s">
        <v>7</v>
      </c>
      <c r="AG2" s="600" t="s">
        <v>8</v>
      </c>
      <c r="AH2" s="600" t="s">
        <v>9</v>
      </c>
      <c r="AI2" s="600" t="s">
        <v>10</v>
      </c>
      <c r="AJ2" s="600" t="s">
        <v>7</v>
      </c>
      <c r="AK2" s="600" t="s">
        <v>8</v>
      </c>
      <c r="AL2" s="600" t="s">
        <v>9</v>
      </c>
      <c r="AM2" s="600" t="s">
        <v>10</v>
      </c>
      <c r="AO2" s="319" t="s">
        <v>197</v>
      </c>
      <c r="AP2" s="1"/>
    </row>
    <row r="3" spans="1:42" ht="14.95" customHeight="1" thickBot="1" x14ac:dyDescent="0.3">
      <c r="A3" s="552" t="s">
        <v>270</v>
      </c>
      <c r="B3" s="530" t="s">
        <v>260</v>
      </c>
      <c r="C3" s="530" t="s">
        <v>3</v>
      </c>
      <c r="D3" s="531" t="s">
        <v>154</v>
      </c>
      <c r="E3" s="531" t="s">
        <v>10</v>
      </c>
      <c r="F3" s="531">
        <v>28</v>
      </c>
      <c r="G3" s="531">
        <v>37</v>
      </c>
      <c r="H3" s="601">
        <v>1</v>
      </c>
      <c r="I3" s="601">
        <v>0</v>
      </c>
      <c r="J3" s="601">
        <v>4</v>
      </c>
      <c r="K3" s="601">
        <v>4</v>
      </c>
      <c r="L3" s="601">
        <v>0</v>
      </c>
      <c r="M3" s="601">
        <v>0</v>
      </c>
      <c r="N3" s="601">
        <v>0</v>
      </c>
      <c r="O3" s="601">
        <v>0</v>
      </c>
      <c r="P3" s="601">
        <v>1</v>
      </c>
      <c r="Q3" s="601">
        <v>0</v>
      </c>
      <c r="R3" s="601">
        <v>7</v>
      </c>
      <c r="S3" s="642" t="s">
        <v>418</v>
      </c>
      <c r="T3" s="532"/>
      <c r="U3" s="533"/>
      <c r="V3" s="533"/>
      <c r="W3" s="534"/>
      <c r="X3" s="618">
        <v>1</v>
      </c>
      <c r="Y3" s="618">
        <v>0</v>
      </c>
      <c r="Z3" s="618">
        <v>0</v>
      </c>
      <c r="AA3" s="619">
        <v>1</v>
      </c>
      <c r="AB3" s="618">
        <v>1</v>
      </c>
      <c r="AC3" s="618">
        <v>0</v>
      </c>
      <c r="AD3" s="618">
        <v>0</v>
      </c>
      <c r="AE3" s="619">
        <v>1</v>
      </c>
      <c r="AF3" s="618">
        <v>0</v>
      </c>
      <c r="AG3" s="618">
        <v>0</v>
      </c>
      <c r="AH3" s="618">
        <v>0</v>
      </c>
      <c r="AI3" s="620">
        <v>0</v>
      </c>
      <c r="AJ3" s="618">
        <v>0</v>
      </c>
      <c r="AK3" s="618">
        <v>0</v>
      </c>
      <c r="AL3" s="618">
        <v>0</v>
      </c>
      <c r="AM3" s="620">
        <v>0</v>
      </c>
      <c r="AO3" s="435" t="s">
        <v>64</v>
      </c>
      <c r="AP3" s="436">
        <f>loughboroughPWRhistplayed</f>
        <v>148</v>
      </c>
    </row>
    <row r="4" spans="1:42" ht="14.95" customHeight="1" thickBot="1" x14ac:dyDescent="0.35">
      <c r="A4" s="550" t="s">
        <v>424</v>
      </c>
      <c r="B4" s="541" t="s">
        <v>260</v>
      </c>
      <c r="C4" s="541" t="s">
        <v>70</v>
      </c>
      <c r="D4" s="542" t="s">
        <v>164</v>
      </c>
      <c r="E4" s="542" t="s">
        <v>8</v>
      </c>
      <c r="F4" s="542">
        <v>69</v>
      </c>
      <c r="G4" s="542">
        <v>12</v>
      </c>
      <c r="H4" s="602">
        <v>1</v>
      </c>
      <c r="I4" s="602">
        <v>0</v>
      </c>
      <c r="J4" s="602">
        <v>11</v>
      </c>
      <c r="K4" s="602">
        <v>7</v>
      </c>
      <c r="L4" s="602">
        <v>0</v>
      </c>
      <c r="M4" s="602">
        <v>0</v>
      </c>
      <c r="N4" s="602">
        <v>0</v>
      </c>
      <c r="O4" s="602">
        <v>0</v>
      </c>
      <c r="P4" s="602">
        <v>0</v>
      </c>
      <c r="Q4" s="602">
        <v>0</v>
      </c>
      <c r="R4" s="602">
        <v>2</v>
      </c>
      <c r="S4" s="543" t="s">
        <v>429</v>
      </c>
      <c r="T4" s="544" t="s">
        <v>285</v>
      </c>
      <c r="U4" s="545" t="s">
        <v>50</v>
      </c>
      <c r="V4" s="545" t="s">
        <v>295</v>
      </c>
      <c r="W4" s="546" t="s">
        <v>293</v>
      </c>
      <c r="X4" s="615">
        <v>1</v>
      </c>
      <c r="Y4" s="615">
        <v>1</v>
      </c>
      <c r="Z4" s="615">
        <v>0</v>
      </c>
      <c r="AA4" s="616">
        <v>0</v>
      </c>
      <c r="AB4" s="615">
        <v>0</v>
      </c>
      <c r="AC4" s="615">
        <v>0</v>
      </c>
      <c r="AD4" s="615">
        <v>0</v>
      </c>
      <c r="AE4" s="616">
        <v>0</v>
      </c>
      <c r="AF4" s="615">
        <v>1</v>
      </c>
      <c r="AG4" s="615">
        <v>1</v>
      </c>
      <c r="AH4" s="615">
        <v>0</v>
      </c>
      <c r="AI4" s="617">
        <v>0</v>
      </c>
      <c r="AJ4" s="615">
        <v>0</v>
      </c>
      <c r="AK4" s="615">
        <v>0</v>
      </c>
      <c r="AL4" s="615">
        <v>0</v>
      </c>
      <c r="AM4" s="617">
        <v>0</v>
      </c>
      <c r="AO4" s="373" t="s">
        <v>65</v>
      </c>
      <c r="AP4" s="437">
        <f>loughboroughPWRhistwon</f>
        <v>76</v>
      </c>
    </row>
    <row r="5" spans="1:42" ht="14.95" customHeight="1" thickBot="1" x14ac:dyDescent="0.3">
      <c r="A5" s="553" t="s">
        <v>257</v>
      </c>
      <c r="B5" s="530" t="s">
        <v>260</v>
      </c>
      <c r="C5" s="530" t="s">
        <v>1</v>
      </c>
      <c r="D5" s="531" t="s">
        <v>154</v>
      </c>
      <c r="E5" s="531" t="s">
        <v>10</v>
      </c>
      <c r="F5" s="531">
        <v>14</v>
      </c>
      <c r="G5" s="531">
        <v>59</v>
      </c>
      <c r="H5" s="601">
        <v>0</v>
      </c>
      <c r="I5" s="601">
        <v>0</v>
      </c>
      <c r="J5" s="601">
        <v>2</v>
      </c>
      <c r="K5" s="601">
        <v>2</v>
      </c>
      <c r="L5" s="601">
        <v>0</v>
      </c>
      <c r="M5" s="601">
        <v>0</v>
      </c>
      <c r="N5" s="601">
        <v>1</v>
      </c>
      <c r="O5" s="601">
        <v>0</v>
      </c>
      <c r="P5" s="601">
        <v>1</v>
      </c>
      <c r="Q5" s="601">
        <v>0</v>
      </c>
      <c r="R5" s="601">
        <v>9</v>
      </c>
      <c r="S5" s="614" t="s">
        <v>337</v>
      </c>
      <c r="T5" s="532" t="s">
        <v>324</v>
      </c>
      <c r="U5" s="533" t="s">
        <v>50</v>
      </c>
      <c r="V5" s="533" t="s">
        <v>290</v>
      </c>
      <c r="W5" s="534" t="s">
        <v>325</v>
      </c>
      <c r="X5" s="618">
        <v>1</v>
      </c>
      <c r="Y5" s="618">
        <v>0</v>
      </c>
      <c r="Z5" s="618">
        <v>0</v>
      </c>
      <c r="AA5" s="619">
        <v>1</v>
      </c>
      <c r="AB5" s="618">
        <v>1</v>
      </c>
      <c r="AC5" s="618">
        <v>0</v>
      </c>
      <c r="AD5" s="618">
        <v>0</v>
      </c>
      <c r="AE5" s="619">
        <v>1</v>
      </c>
      <c r="AF5" s="618">
        <v>0</v>
      </c>
      <c r="AG5" s="618">
        <v>0</v>
      </c>
      <c r="AH5" s="618">
        <v>0</v>
      </c>
      <c r="AI5" s="620">
        <v>0</v>
      </c>
      <c r="AJ5" s="618">
        <v>0</v>
      </c>
      <c r="AK5" s="618">
        <v>0</v>
      </c>
      <c r="AL5" s="618">
        <v>0</v>
      </c>
      <c r="AM5" s="620">
        <v>0</v>
      </c>
      <c r="AO5" s="373" t="s">
        <v>192</v>
      </c>
      <c r="AP5" s="437">
        <f>loughboroughPWRhistorydrawncorrrect</f>
        <v>5</v>
      </c>
    </row>
    <row r="6" spans="1:42" ht="14.95" customHeight="1" thickBot="1" x14ac:dyDescent="0.3">
      <c r="A6" s="550" t="s">
        <v>259</v>
      </c>
      <c r="B6" s="541" t="s">
        <v>260</v>
      </c>
      <c r="C6" s="541" t="s">
        <v>49</v>
      </c>
      <c r="D6" s="542" t="s">
        <v>12</v>
      </c>
      <c r="E6" s="542" t="s">
        <v>10</v>
      </c>
      <c r="F6" s="542">
        <v>29</v>
      </c>
      <c r="G6" s="542">
        <v>36</v>
      </c>
      <c r="H6" s="602">
        <v>1</v>
      </c>
      <c r="I6" s="602">
        <v>1</v>
      </c>
      <c r="J6" s="602">
        <v>4</v>
      </c>
      <c r="K6" s="602">
        <v>3</v>
      </c>
      <c r="L6" s="602">
        <v>0</v>
      </c>
      <c r="M6" s="602">
        <v>1</v>
      </c>
      <c r="N6" s="602">
        <v>0</v>
      </c>
      <c r="O6" s="602">
        <v>0</v>
      </c>
      <c r="P6" s="602">
        <v>1</v>
      </c>
      <c r="Q6" s="602">
        <v>0</v>
      </c>
      <c r="R6" s="602">
        <v>6</v>
      </c>
      <c r="S6" s="557" t="s">
        <v>418</v>
      </c>
      <c r="T6" s="544" t="s">
        <v>282</v>
      </c>
      <c r="U6" s="545" t="s">
        <v>50</v>
      </c>
      <c r="V6" s="613" t="s">
        <v>444</v>
      </c>
      <c r="W6" s="546" t="s">
        <v>380</v>
      </c>
      <c r="X6" s="615">
        <v>1</v>
      </c>
      <c r="Y6" s="615">
        <v>0</v>
      </c>
      <c r="Z6" s="615">
        <v>0</v>
      </c>
      <c r="AA6" s="616">
        <v>1</v>
      </c>
      <c r="AB6" s="615">
        <v>0</v>
      </c>
      <c r="AC6" s="615">
        <v>0</v>
      </c>
      <c r="AD6" s="615">
        <v>0</v>
      </c>
      <c r="AE6" s="616">
        <v>0</v>
      </c>
      <c r="AF6" s="615">
        <v>1</v>
      </c>
      <c r="AG6" s="615">
        <v>0</v>
      </c>
      <c r="AH6" s="615">
        <v>0</v>
      </c>
      <c r="AI6" s="617">
        <v>1</v>
      </c>
      <c r="AJ6" s="615">
        <v>0</v>
      </c>
      <c r="AK6" s="615">
        <v>0</v>
      </c>
      <c r="AL6" s="615">
        <v>0</v>
      </c>
      <c r="AM6" s="617">
        <v>0</v>
      </c>
      <c r="AO6" s="373" t="s">
        <v>66</v>
      </c>
      <c r="AP6" s="437">
        <f>loughboroughPWRhistlost</f>
        <v>67</v>
      </c>
    </row>
    <row r="7" spans="1:42" ht="14.95" customHeight="1" thickBot="1" x14ac:dyDescent="0.35">
      <c r="A7" s="495" t="s">
        <v>253</v>
      </c>
      <c r="B7" s="147" t="s">
        <v>73</v>
      </c>
      <c r="C7" s="147" t="s">
        <v>0</v>
      </c>
      <c r="D7" s="148" t="s">
        <v>12</v>
      </c>
      <c r="E7" s="148" t="s">
        <v>10</v>
      </c>
      <c r="F7" s="148">
        <v>42</v>
      </c>
      <c r="G7" s="148">
        <v>52</v>
      </c>
      <c r="H7" s="453">
        <v>1</v>
      </c>
      <c r="I7" s="453">
        <v>0</v>
      </c>
      <c r="J7" s="453">
        <v>6</v>
      </c>
      <c r="K7" s="453">
        <v>6</v>
      </c>
      <c r="L7" s="453">
        <v>0</v>
      </c>
      <c r="M7" s="453">
        <v>0</v>
      </c>
      <c r="N7" s="453">
        <v>1</v>
      </c>
      <c r="O7" s="453">
        <v>0</v>
      </c>
      <c r="P7" s="453">
        <v>1</v>
      </c>
      <c r="Q7" s="453">
        <v>0</v>
      </c>
      <c r="R7" s="453">
        <v>8</v>
      </c>
      <c r="S7" s="500" t="s">
        <v>299</v>
      </c>
      <c r="T7" s="149" t="s">
        <v>291</v>
      </c>
      <c r="U7" s="150" t="s">
        <v>50</v>
      </c>
      <c r="V7" s="164" t="s">
        <v>284</v>
      </c>
      <c r="W7" s="151" t="s">
        <v>292</v>
      </c>
      <c r="X7" s="624">
        <v>1</v>
      </c>
      <c r="Y7" s="624">
        <v>0</v>
      </c>
      <c r="Z7" s="624">
        <v>0</v>
      </c>
      <c r="AA7" s="625">
        <v>1</v>
      </c>
      <c r="AB7" s="624">
        <v>0</v>
      </c>
      <c r="AC7" s="624">
        <v>0</v>
      </c>
      <c r="AD7" s="624">
        <v>0</v>
      </c>
      <c r="AE7" s="625">
        <v>0</v>
      </c>
      <c r="AF7" s="624">
        <v>1</v>
      </c>
      <c r="AG7" s="624">
        <v>0</v>
      </c>
      <c r="AH7" s="624">
        <v>0</v>
      </c>
      <c r="AI7" s="626">
        <v>1</v>
      </c>
      <c r="AJ7" s="624">
        <v>0</v>
      </c>
      <c r="AK7" s="624">
        <v>0</v>
      </c>
      <c r="AL7" s="624">
        <v>0</v>
      </c>
      <c r="AM7" s="626">
        <v>0</v>
      </c>
      <c r="AO7" s="373" t="s">
        <v>193</v>
      </c>
      <c r="AP7" s="437">
        <f>loughboroughPWRhistptsfor</f>
        <v>4178</v>
      </c>
    </row>
    <row r="8" spans="1:42" ht="14.95" customHeight="1" thickBot="1" x14ac:dyDescent="0.35">
      <c r="A8" s="493" t="s">
        <v>157</v>
      </c>
      <c r="B8" s="152" t="s">
        <v>73</v>
      </c>
      <c r="C8" s="152" t="s">
        <v>3</v>
      </c>
      <c r="D8" s="153" t="s">
        <v>153</v>
      </c>
      <c r="E8" s="153" t="s">
        <v>8</v>
      </c>
      <c r="F8" s="153">
        <v>19</v>
      </c>
      <c r="G8" s="153">
        <v>12</v>
      </c>
      <c r="H8" s="454">
        <v>0</v>
      </c>
      <c r="I8" s="454">
        <v>0</v>
      </c>
      <c r="J8" s="454">
        <v>3</v>
      </c>
      <c r="K8" s="454">
        <v>2</v>
      </c>
      <c r="L8" s="454">
        <v>0</v>
      </c>
      <c r="M8" s="454">
        <v>0</v>
      </c>
      <c r="N8" s="454">
        <v>0</v>
      </c>
      <c r="O8" s="454">
        <v>0</v>
      </c>
      <c r="P8" s="454">
        <v>0</v>
      </c>
      <c r="Q8" s="454">
        <v>1</v>
      </c>
      <c r="R8" s="454">
        <v>2</v>
      </c>
      <c r="S8" s="347" t="s">
        <v>359</v>
      </c>
      <c r="T8" s="338" t="s">
        <v>289</v>
      </c>
      <c r="U8" s="339" t="s">
        <v>50</v>
      </c>
      <c r="V8" s="158" t="s">
        <v>560</v>
      </c>
      <c r="W8" s="340" t="s">
        <v>286</v>
      </c>
      <c r="X8" s="621">
        <v>1</v>
      </c>
      <c r="Y8" s="621">
        <v>1</v>
      </c>
      <c r="Z8" s="621">
        <v>0</v>
      </c>
      <c r="AA8" s="622">
        <v>0</v>
      </c>
      <c r="AB8" s="621">
        <v>1</v>
      </c>
      <c r="AC8" s="621">
        <v>1</v>
      </c>
      <c r="AD8" s="621">
        <v>0</v>
      </c>
      <c r="AE8" s="622">
        <v>0</v>
      </c>
      <c r="AF8" s="621">
        <v>0</v>
      </c>
      <c r="AG8" s="621">
        <v>0</v>
      </c>
      <c r="AH8" s="621">
        <v>0</v>
      </c>
      <c r="AI8" s="623">
        <v>0</v>
      </c>
      <c r="AJ8" s="621">
        <v>0</v>
      </c>
      <c r="AK8" s="621">
        <v>0</v>
      </c>
      <c r="AL8" s="621">
        <v>0</v>
      </c>
      <c r="AM8" s="623">
        <v>0</v>
      </c>
      <c r="AO8" s="373" t="s">
        <v>194</v>
      </c>
      <c r="AP8" s="437">
        <f>loughboroughPWRhistptsaga</f>
        <v>3445</v>
      </c>
    </row>
    <row r="9" spans="1:42" ht="14.95" customHeight="1" thickBot="1" x14ac:dyDescent="0.3">
      <c r="A9" s="154" t="s">
        <v>158</v>
      </c>
      <c r="B9" s="155" t="s">
        <v>73</v>
      </c>
      <c r="C9" s="152" t="s">
        <v>4</v>
      </c>
      <c r="D9" s="153" t="s">
        <v>153</v>
      </c>
      <c r="E9" s="153" t="s">
        <v>9</v>
      </c>
      <c r="F9" s="153">
        <v>33</v>
      </c>
      <c r="G9" s="153">
        <v>33</v>
      </c>
      <c r="H9" s="454">
        <v>1</v>
      </c>
      <c r="I9" s="454">
        <v>0</v>
      </c>
      <c r="J9" s="454">
        <v>5</v>
      </c>
      <c r="K9" s="454">
        <v>4</v>
      </c>
      <c r="L9" s="454">
        <v>0</v>
      </c>
      <c r="M9" s="454">
        <v>0</v>
      </c>
      <c r="N9" s="454">
        <v>0</v>
      </c>
      <c r="O9" s="454">
        <v>0</v>
      </c>
      <c r="P9" s="454">
        <v>1</v>
      </c>
      <c r="Q9" s="454">
        <v>0</v>
      </c>
      <c r="R9" s="454">
        <v>5</v>
      </c>
      <c r="S9" s="367" t="s">
        <v>401</v>
      </c>
      <c r="T9" s="157" t="s">
        <v>296</v>
      </c>
      <c r="U9" s="158" t="s">
        <v>50</v>
      </c>
      <c r="V9" s="158" t="s">
        <v>326</v>
      </c>
      <c r="W9" s="158" t="s">
        <v>384</v>
      </c>
      <c r="X9" s="158">
        <v>1</v>
      </c>
      <c r="Y9" s="158">
        <v>0</v>
      </c>
      <c r="Z9" s="158">
        <v>1</v>
      </c>
      <c r="AA9" s="159">
        <v>0</v>
      </c>
      <c r="AB9" s="158">
        <v>1</v>
      </c>
      <c r="AC9" s="158">
        <v>0</v>
      </c>
      <c r="AD9" s="158">
        <v>1</v>
      </c>
      <c r="AE9" s="159">
        <v>0</v>
      </c>
      <c r="AF9" s="158">
        <v>0</v>
      </c>
      <c r="AG9" s="158">
        <v>0</v>
      </c>
      <c r="AH9" s="158">
        <v>0</v>
      </c>
      <c r="AI9" s="160">
        <v>0</v>
      </c>
      <c r="AJ9" s="158">
        <v>0</v>
      </c>
      <c r="AK9" s="158">
        <v>0</v>
      </c>
      <c r="AL9" s="158">
        <v>0</v>
      </c>
      <c r="AM9" s="160">
        <v>0</v>
      </c>
    </row>
    <row r="10" spans="1:42" ht="14.95" customHeight="1" thickBot="1" x14ac:dyDescent="0.35">
      <c r="A10" s="167" t="s">
        <v>243</v>
      </c>
      <c r="B10" s="155" t="s">
        <v>73</v>
      </c>
      <c r="C10" s="168" t="s">
        <v>70</v>
      </c>
      <c r="D10" s="169" t="s">
        <v>153</v>
      </c>
      <c r="E10" s="169" t="s">
        <v>8</v>
      </c>
      <c r="F10" s="169">
        <v>50</v>
      </c>
      <c r="G10" s="169">
        <v>15</v>
      </c>
      <c r="H10" s="456">
        <v>1</v>
      </c>
      <c r="I10" s="456">
        <v>0</v>
      </c>
      <c r="J10" s="456">
        <v>8</v>
      </c>
      <c r="K10" s="456">
        <v>5</v>
      </c>
      <c r="L10" s="456">
        <v>0</v>
      </c>
      <c r="M10" s="456">
        <v>0</v>
      </c>
      <c r="N10" s="456">
        <v>0</v>
      </c>
      <c r="O10" s="456">
        <v>0</v>
      </c>
      <c r="P10" s="456">
        <v>0</v>
      </c>
      <c r="Q10" s="456">
        <v>0</v>
      </c>
      <c r="R10" s="456">
        <v>3</v>
      </c>
      <c r="S10" s="156" t="s">
        <v>476</v>
      </c>
      <c r="T10" s="157" t="s">
        <v>469</v>
      </c>
      <c r="U10" s="158" t="s">
        <v>50</v>
      </c>
      <c r="V10" s="157" t="s">
        <v>470</v>
      </c>
      <c r="W10" s="158" t="s">
        <v>290</v>
      </c>
      <c r="X10" s="158">
        <v>1</v>
      </c>
      <c r="Y10" s="158">
        <v>1</v>
      </c>
      <c r="Z10" s="158">
        <v>0</v>
      </c>
      <c r="AA10" s="158">
        <v>0</v>
      </c>
      <c r="AB10" s="158">
        <v>1</v>
      </c>
      <c r="AC10" s="158">
        <v>1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7">
        <v>0</v>
      </c>
      <c r="AJ10" s="158">
        <v>0</v>
      </c>
      <c r="AK10" s="158">
        <v>0</v>
      </c>
      <c r="AL10" s="158">
        <v>0</v>
      </c>
      <c r="AM10" s="157">
        <v>0</v>
      </c>
    </row>
    <row r="11" spans="1:42" ht="14.95" customHeight="1" thickBot="1" x14ac:dyDescent="0.3">
      <c r="A11" s="161" t="s">
        <v>160</v>
      </c>
      <c r="B11" s="162" t="s">
        <v>73</v>
      </c>
      <c r="C11" s="147" t="s">
        <v>1</v>
      </c>
      <c r="D11" s="148" t="s">
        <v>12</v>
      </c>
      <c r="E11" s="148" t="s">
        <v>10</v>
      </c>
      <c r="F11" s="148">
        <v>15</v>
      </c>
      <c r="G11" s="148">
        <v>33</v>
      </c>
      <c r="H11" s="453">
        <v>0</v>
      </c>
      <c r="I11" s="453">
        <v>0</v>
      </c>
      <c r="J11" s="453">
        <v>3</v>
      </c>
      <c r="K11" s="453">
        <v>0</v>
      </c>
      <c r="L11" s="453">
        <v>0</v>
      </c>
      <c r="M11" s="453">
        <v>0</v>
      </c>
      <c r="N11" s="453">
        <v>0</v>
      </c>
      <c r="O11" s="453">
        <v>0</v>
      </c>
      <c r="P11" s="453">
        <v>1</v>
      </c>
      <c r="Q11" s="453">
        <v>0</v>
      </c>
      <c r="R11" s="453">
        <v>5</v>
      </c>
      <c r="S11" s="171" t="s">
        <v>502</v>
      </c>
      <c r="T11" s="172" t="s">
        <v>294</v>
      </c>
      <c r="U11" s="164" t="s">
        <v>50</v>
      </c>
      <c r="V11" s="164" t="s">
        <v>325</v>
      </c>
      <c r="W11" s="166" t="s">
        <v>384</v>
      </c>
      <c r="X11" s="164">
        <v>1</v>
      </c>
      <c r="Y11" s="164">
        <v>0</v>
      </c>
      <c r="Z11" s="164">
        <v>0</v>
      </c>
      <c r="AA11" s="164">
        <v>1</v>
      </c>
      <c r="AB11" s="164">
        <v>0</v>
      </c>
      <c r="AC11" s="164">
        <v>0</v>
      </c>
      <c r="AD11" s="164">
        <v>0</v>
      </c>
      <c r="AE11" s="164">
        <v>0</v>
      </c>
      <c r="AF11" s="164">
        <v>1</v>
      </c>
      <c r="AG11" s="164">
        <v>0</v>
      </c>
      <c r="AH11" s="164">
        <v>0</v>
      </c>
      <c r="AI11" s="172">
        <v>1</v>
      </c>
      <c r="AJ11" s="164">
        <v>0</v>
      </c>
      <c r="AK11" s="164">
        <v>0</v>
      </c>
      <c r="AL11" s="164">
        <v>0</v>
      </c>
      <c r="AM11" s="172">
        <v>0</v>
      </c>
    </row>
    <row r="12" spans="1:42" ht="14.95" customHeight="1" thickBot="1" x14ac:dyDescent="0.3">
      <c r="A12" s="161" t="s">
        <v>161</v>
      </c>
      <c r="B12" s="162" t="s">
        <v>73</v>
      </c>
      <c r="C12" s="147" t="s">
        <v>49</v>
      </c>
      <c r="D12" s="148" t="s">
        <v>12</v>
      </c>
      <c r="E12" s="148" t="s">
        <v>8</v>
      </c>
      <c r="F12" s="148">
        <v>31</v>
      </c>
      <c r="G12" s="148">
        <v>19</v>
      </c>
      <c r="H12" s="453">
        <v>1</v>
      </c>
      <c r="I12" s="453">
        <v>0</v>
      </c>
      <c r="J12" s="453">
        <v>4</v>
      </c>
      <c r="K12" s="453">
        <v>4</v>
      </c>
      <c r="L12" s="453">
        <v>0</v>
      </c>
      <c r="M12" s="453">
        <v>1</v>
      </c>
      <c r="N12" s="453">
        <v>0</v>
      </c>
      <c r="O12" s="453">
        <v>0</v>
      </c>
      <c r="P12" s="453">
        <v>0</v>
      </c>
      <c r="Q12" s="453">
        <v>0</v>
      </c>
      <c r="R12" s="453">
        <v>3</v>
      </c>
      <c r="S12" s="171" t="s">
        <v>392</v>
      </c>
      <c r="T12" s="172" t="s">
        <v>285</v>
      </c>
      <c r="U12" s="164" t="s">
        <v>50</v>
      </c>
      <c r="V12" s="164" t="s">
        <v>284</v>
      </c>
      <c r="W12" s="166" t="s">
        <v>296</v>
      </c>
      <c r="X12" s="164">
        <v>1</v>
      </c>
      <c r="Y12" s="164">
        <v>1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4">
        <v>1</v>
      </c>
      <c r="AG12" s="164">
        <v>1</v>
      </c>
      <c r="AH12" s="164">
        <v>0</v>
      </c>
      <c r="AI12" s="172">
        <v>0</v>
      </c>
      <c r="AJ12" s="164">
        <v>0</v>
      </c>
      <c r="AK12" s="164">
        <v>0</v>
      </c>
      <c r="AL12" s="164">
        <v>0</v>
      </c>
      <c r="AM12" s="172">
        <v>0</v>
      </c>
    </row>
    <row r="13" spans="1:42" ht="14.95" customHeight="1" thickBot="1" x14ac:dyDescent="0.3">
      <c r="A13" s="154" t="s">
        <v>162</v>
      </c>
      <c r="B13" s="155" t="s">
        <v>73</v>
      </c>
      <c r="C13" s="152" t="s">
        <v>100</v>
      </c>
      <c r="D13" s="153" t="s">
        <v>153</v>
      </c>
      <c r="E13" s="153" t="s">
        <v>9</v>
      </c>
      <c r="F13" s="153">
        <v>29</v>
      </c>
      <c r="G13" s="153">
        <v>29</v>
      </c>
      <c r="H13" s="454">
        <v>1</v>
      </c>
      <c r="I13" s="454">
        <v>0</v>
      </c>
      <c r="J13" s="454">
        <v>5</v>
      </c>
      <c r="K13" s="454">
        <v>2</v>
      </c>
      <c r="L13" s="454">
        <v>0</v>
      </c>
      <c r="M13" s="454">
        <v>0</v>
      </c>
      <c r="N13" s="454">
        <v>0</v>
      </c>
      <c r="O13" s="454">
        <v>0</v>
      </c>
      <c r="P13" s="454">
        <v>1</v>
      </c>
      <c r="Q13" s="454">
        <v>0</v>
      </c>
      <c r="R13" s="454">
        <v>4</v>
      </c>
      <c r="S13" s="664" t="s">
        <v>550</v>
      </c>
      <c r="T13" s="342" t="s">
        <v>291</v>
      </c>
      <c r="U13" s="343" t="s">
        <v>50</v>
      </c>
      <c r="V13" s="158" t="s">
        <v>292</v>
      </c>
      <c r="W13" s="160" t="s">
        <v>290</v>
      </c>
      <c r="X13" s="158">
        <v>1</v>
      </c>
      <c r="Y13" s="158">
        <v>0</v>
      </c>
      <c r="Z13" s="158">
        <v>1</v>
      </c>
      <c r="AA13" s="158">
        <v>0</v>
      </c>
      <c r="AB13" s="158">
        <v>1</v>
      </c>
      <c r="AC13" s="158">
        <v>0</v>
      </c>
      <c r="AD13" s="158">
        <v>1</v>
      </c>
      <c r="AE13" s="158">
        <v>0</v>
      </c>
      <c r="AF13" s="158">
        <v>0</v>
      </c>
      <c r="AG13" s="158">
        <v>0</v>
      </c>
      <c r="AH13" s="158">
        <v>0</v>
      </c>
      <c r="AI13" s="157">
        <v>0</v>
      </c>
      <c r="AJ13" s="158">
        <v>0</v>
      </c>
      <c r="AK13" s="158">
        <v>0</v>
      </c>
      <c r="AL13" s="158">
        <v>0</v>
      </c>
      <c r="AM13" s="157">
        <v>0</v>
      </c>
    </row>
    <row r="14" spans="1:42" ht="14.95" customHeight="1" thickBot="1" x14ac:dyDescent="0.3">
      <c r="A14" s="161" t="s">
        <v>508</v>
      </c>
      <c r="B14" s="162" t="s">
        <v>73</v>
      </c>
      <c r="C14" s="147" t="s">
        <v>63</v>
      </c>
      <c r="D14" s="148" t="s">
        <v>12</v>
      </c>
      <c r="E14" s="148" t="s">
        <v>10</v>
      </c>
      <c r="F14" s="148">
        <v>26</v>
      </c>
      <c r="G14" s="148">
        <v>45</v>
      </c>
      <c r="H14" s="453">
        <v>1</v>
      </c>
      <c r="I14" s="453">
        <v>0</v>
      </c>
      <c r="J14" s="453">
        <v>4</v>
      </c>
      <c r="K14" s="453">
        <v>3</v>
      </c>
      <c r="L14" s="453">
        <v>0</v>
      </c>
      <c r="M14" s="453">
        <v>0</v>
      </c>
      <c r="N14" s="453">
        <v>0</v>
      </c>
      <c r="O14" s="453">
        <v>0</v>
      </c>
      <c r="P14" s="453">
        <v>1</v>
      </c>
      <c r="Q14" s="453">
        <v>0</v>
      </c>
      <c r="R14" s="453">
        <v>7</v>
      </c>
      <c r="S14" s="171" t="s">
        <v>496</v>
      </c>
      <c r="T14" s="172" t="s">
        <v>558</v>
      </c>
      <c r="U14" s="164" t="s">
        <v>297</v>
      </c>
      <c r="V14" s="164" t="s">
        <v>379</v>
      </c>
      <c r="W14" s="166" t="s">
        <v>284</v>
      </c>
      <c r="X14" s="164">
        <v>1</v>
      </c>
      <c r="Y14" s="164">
        <v>0</v>
      </c>
      <c r="Z14" s="164">
        <v>0</v>
      </c>
      <c r="AA14" s="164">
        <v>1</v>
      </c>
      <c r="AB14" s="164">
        <v>0</v>
      </c>
      <c r="AC14" s="164">
        <v>0</v>
      </c>
      <c r="AD14" s="164">
        <v>0</v>
      </c>
      <c r="AE14" s="164">
        <v>0</v>
      </c>
      <c r="AF14" s="164">
        <v>1</v>
      </c>
      <c r="AG14" s="164">
        <v>0</v>
      </c>
      <c r="AH14" s="164">
        <v>0</v>
      </c>
      <c r="AI14" s="172">
        <v>1</v>
      </c>
      <c r="AJ14" s="164">
        <v>0</v>
      </c>
      <c r="AK14" s="164">
        <v>0</v>
      </c>
      <c r="AL14" s="164">
        <v>0</v>
      </c>
      <c r="AM14" s="172">
        <v>0</v>
      </c>
    </row>
    <row r="15" spans="1:42" ht="14.95" customHeight="1" thickBot="1" x14ac:dyDescent="0.3">
      <c r="A15" s="161" t="s">
        <v>512</v>
      </c>
      <c r="B15" s="162" t="s">
        <v>73</v>
      </c>
      <c r="C15" s="147" t="s">
        <v>4</v>
      </c>
      <c r="D15" s="148" t="s">
        <v>12</v>
      </c>
      <c r="E15" s="148" t="s">
        <v>10</v>
      </c>
      <c r="F15" s="148">
        <v>5</v>
      </c>
      <c r="G15" s="148">
        <v>26</v>
      </c>
      <c r="H15" s="453">
        <v>0</v>
      </c>
      <c r="I15" s="453">
        <v>0</v>
      </c>
      <c r="J15" s="453">
        <v>1</v>
      </c>
      <c r="K15" s="453">
        <v>0</v>
      </c>
      <c r="L15" s="453">
        <v>0</v>
      </c>
      <c r="M15" s="453">
        <v>0</v>
      </c>
      <c r="N15" s="453">
        <v>0</v>
      </c>
      <c r="O15" s="453">
        <v>0</v>
      </c>
      <c r="P15" s="453">
        <v>1</v>
      </c>
      <c r="Q15" s="453">
        <v>0</v>
      </c>
      <c r="R15" s="453">
        <v>4</v>
      </c>
      <c r="S15" s="171" t="s">
        <v>602</v>
      </c>
      <c r="T15" s="172" t="s">
        <v>326</v>
      </c>
      <c r="U15" s="164" t="s">
        <v>50</v>
      </c>
      <c r="V15" s="164" t="s">
        <v>287</v>
      </c>
      <c r="W15" s="166" t="s">
        <v>380</v>
      </c>
      <c r="X15" s="164">
        <v>1</v>
      </c>
      <c r="Y15" s="164">
        <v>0</v>
      </c>
      <c r="Z15" s="164">
        <v>0</v>
      </c>
      <c r="AA15" s="164">
        <v>1</v>
      </c>
      <c r="AB15" s="164">
        <v>0</v>
      </c>
      <c r="AC15" s="164">
        <v>0</v>
      </c>
      <c r="AD15" s="164">
        <v>0</v>
      </c>
      <c r="AE15" s="164">
        <v>0</v>
      </c>
      <c r="AF15" s="164">
        <v>1</v>
      </c>
      <c r="AG15" s="164">
        <v>0</v>
      </c>
      <c r="AH15" s="164">
        <v>0</v>
      </c>
      <c r="AI15" s="172">
        <v>1</v>
      </c>
      <c r="AJ15" s="164">
        <v>0</v>
      </c>
      <c r="AK15" s="164">
        <v>0</v>
      </c>
      <c r="AL15" s="164">
        <v>0</v>
      </c>
      <c r="AM15" s="172">
        <v>0</v>
      </c>
    </row>
    <row r="16" spans="1:42" ht="14.95" customHeight="1" thickBot="1" x14ac:dyDescent="0.35">
      <c r="A16" s="154" t="s">
        <v>514</v>
      </c>
      <c r="B16" s="155" t="s">
        <v>73</v>
      </c>
      <c r="C16" s="152" t="s">
        <v>49</v>
      </c>
      <c r="D16" s="153" t="s">
        <v>153</v>
      </c>
      <c r="E16" s="153" t="s">
        <v>10</v>
      </c>
      <c r="F16" s="153">
        <v>21</v>
      </c>
      <c r="G16" s="153">
        <v>24</v>
      </c>
      <c r="H16" s="454">
        <v>0</v>
      </c>
      <c r="I16" s="454">
        <v>1</v>
      </c>
      <c r="J16" s="454">
        <v>3</v>
      </c>
      <c r="K16" s="454">
        <v>3</v>
      </c>
      <c r="L16" s="454">
        <v>0</v>
      </c>
      <c r="M16" s="454">
        <v>0</v>
      </c>
      <c r="N16" s="454">
        <v>0</v>
      </c>
      <c r="O16" s="454">
        <v>0</v>
      </c>
      <c r="P16" s="454">
        <v>1</v>
      </c>
      <c r="Q16" s="454">
        <v>0</v>
      </c>
      <c r="R16" s="454">
        <v>4</v>
      </c>
      <c r="S16" s="348" t="s">
        <v>621</v>
      </c>
      <c r="T16" s="157" t="s">
        <v>573</v>
      </c>
      <c r="U16" s="158" t="s">
        <v>296</v>
      </c>
      <c r="V16" s="158" t="s">
        <v>560</v>
      </c>
      <c r="W16" s="160" t="s">
        <v>287</v>
      </c>
      <c r="X16" s="158">
        <v>1</v>
      </c>
      <c r="Y16" s="158">
        <v>0</v>
      </c>
      <c r="Z16" s="158">
        <v>0</v>
      </c>
      <c r="AA16" s="158">
        <v>1</v>
      </c>
      <c r="AB16" s="158">
        <v>1</v>
      </c>
      <c r="AC16" s="158">
        <v>0</v>
      </c>
      <c r="AD16" s="158">
        <v>0</v>
      </c>
      <c r="AE16" s="158">
        <v>1</v>
      </c>
      <c r="AF16" s="158">
        <v>0</v>
      </c>
      <c r="AG16" s="158">
        <v>0</v>
      </c>
      <c r="AH16" s="158">
        <v>0</v>
      </c>
      <c r="AI16" s="157">
        <v>0</v>
      </c>
      <c r="AJ16" s="158">
        <v>0</v>
      </c>
      <c r="AK16" s="158">
        <v>0</v>
      </c>
      <c r="AL16" s="158">
        <v>0</v>
      </c>
      <c r="AM16" s="157">
        <v>0</v>
      </c>
    </row>
    <row r="17" spans="1:39" ht="14.95" customHeight="1" thickBot="1" x14ac:dyDescent="0.35">
      <c r="A17" s="178" t="s">
        <v>516</v>
      </c>
      <c r="B17" s="162" t="s">
        <v>73</v>
      </c>
      <c r="C17" s="147" t="s">
        <v>3</v>
      </c>
      <c r="D17" s="148" t="s">
        <v>12</v>
      </c>
      <c r="E17" s="148" t="s">
        <v>10</v>
      </c>
      <c r="F17" s="148">
        <v>29</v>
      </c>
      <c r="G17" s="148">
        <v>31</v>
      </c>
      <c r="H17" s="453">
        <v>1</v>
      </c>
      <c r="I17" s="453">
        <v>1</v>
      </c>
      <c r="J17" s="453">
        <v>4</v>
      </c>
      <c r="K17" s="453">
        <v>3</v>
      </c>
      <c r="L17" s="453">
        <v>0</v>
      </c>
      <c r="M17" s="453">
        <v>1</v>
      </c>
      <c r="N17" s="453">
        <v>0</v>
      </c>
      <c r="O17" s="453">
        <v>0</v>
      </c>
      <c r="P17" s="453">
        <v>1</v>
      </c>
      <c r="Q17" s="453">
        <v>0</v>
      </c>
      <c r="R17" s="453">
        <v>5</v>
      </c>
      <c r="S17" s="176" t="s">
        <v>636</v>
      </c>
      <c r="T17" s="172" t="s">
        <v>289</v>
      </c>
      <c r="U17" s="164" t="s">
        <v>50</v>
      </c>
      <c r="V17" s="164" t="s">
        <v>324</v>
      </c>
      <c r="W17" s="166" t="s">
        <v>611</v>
      </c>
      <c r="X17" s="164">
        <v>1</v>
      </c>
      <c r="Y17" s="164">
        <v>0</v>
      </c>
      <c r="Z17" s="164">
        <v>0</v>
      </c>
      <c r="AA17" s="164">
        <v>1</v>
      </c>
      <c r="AB17" s="164">
        <v>0</v>
      </c>
      <c r="AC17" s="164">
        <v>0</v>
      </c>
      <c r="AD17" s="164">
        <v>0</v>
      </c>
      <c r="AE17" s="164">
        <v>0</v>
      </c>
      <c r="AF17" s="164">
        <v>1</v>
      </c>
      <c r="AG17" s="164">
        <v>0</v>
      </c>
      <c r="AH17" s="164">
        <v>0</v>
      </c>
      <c r="AI17" s="172">
        <v>1</v>
      </c>
      <c r="AJ17" s="164">
        <v>0</v>
      </c>
      <c r="AK17" s="164">
        <v>0</v>
      </c>
      <c r="AL17" s="164">
        <v>0</v>
      </c>
      <c r="AM17" s="172">
        <v>0</v>
      </c>
    </row>
    <row r="18" spans="1:39" ht="14.95" customHeight="1" thickBot="1" x14ac:dyDescent="0.35">
      <c r="A18" s="177" t="s">
        <v>517</v>
      </c>
      <c r="B18" s="155" t="s">
        <v>73</v>
      </c>
      <c r="C18" s="152" t="s">
        <v>0</v>
      </c>
      <c r="D18" s="153" t="s">
        <v>153</v>
      </c>
      <c r="E18" s="153" t="s">
        <v>8</v>
      </c>
      <c r="F18" s="153">
        <v>43</v>
      </c>
      <c r="G18" s="153">
        <v>33</v>
      </c>
      <c r="H18" s="454">
        <v>1</v>
      </c>
      <c r="I18" s="454">
        <v>0</v>
      </c>
      <c r="J18" s="454">
        <v>7</v>
      </c>
      <c r="K18" s="454">
        <v>4</v>
      </c>
      <c r="L18" s="454">
        <v>0</v>
      </c>
      <c r="M18" s="454">
        <v>0</v>
      </c>
      <c r="N18" s="454">
        <v>0</v>
      </c>
      <c r="O18" s="454">
        <v>0</v>
      </c>
      <c r="P18" s="454">
        <v>1</v>
      </c>
      <c r="Q18" s="454">
        <v>0</v>
      </c>
      <c r="R18" s="454">
        <v>5</v>
      </c>
      <c r="S18" s="156" t="s">
        <v>453</v>
      </c>
      <c r="T18" s="157" t="s">
        <v>624</v>
      </c>
      <c r="U18" s="158" t="s">
        <v>50</v>
      </c>
      <c r="V18" s="158" t="s">
        <v>642</v>
      </c>
      <c r="W18" s="160" t="s">
        <v>283</v>
      </c>
      <c r="X18" s="158">
        <v>1</v>
      </c>
      <c r="Y18" s="158">
        <v>1</v>
      </c>
      <c r="Z18" s="158">
        <v>0</v>
      </c>
      <c r="AA18" s="158">
        <v>0</v>
      </c>
      <c r="AB18" s="158">
        <v>1</v>
      </c>
      <c r="AC18" s="158">
        <v>1</v>
      </c>
      <c r="AD18" s="158">
        <v>0</v>
      </c>
      <c r="AE18" s="158">
        <v>0</v>
      </c>
      <c r="AF18" s="158">
        <v>0</v>
      </c>
      <c r="AG18" s="158">
        <v>0</v>
      </c>
      <c r="AH18" s="158">
        <v>0</v>
      </c>
      <c r="AI18" s="157">
        <v>0</v>
      </c>
      <c r="AJ18" s="158">
        <v>0</v>
      </c>
      <c r="AK18" s="158">
        <v>0</v>
      </c>
      <c r="AL18" s="158">
        <v>0</v>
      </c>
      <c r="AM18" s="157">
        <v>0</v>
      </c>
    </row>
    <row r="19" spans="1:39" ht="14.95" customHeight="1" thickBot="1" x14ac:dyDescent="0.35">
      <c r="A19" s="177" t="s">
        <v>127</v>
      </c>
      <c r="B19" s="155" t="s">
        <v>73</v>
      </c>
      <c r="C19" s="152" t="s">
        <v>63</v>
      </c>
      <c r="D19" s="153" t="s">
        <v>153</v>
      </c>
      <c r="E19" s="153" t="s">
        <v>10</v>
      </c>
      <c r="F19" s="153">
        <v>38</v>
      </c>
      <c r="G19" s="153">
        <v>43</v>
      </c>
      <c r="H19" s="454">
        <v>1</v>
      </c>
      <c r="I19" s="454">
        <v>1</v>
      </c>
      <c r="J19" s="454">
        <v>6</v>
      </c>
      <c r="K19" s="454">
        <v>4</v>
      </c>
      <c r="L19" s="454">
        <v>0</v>
      </c>
      <c r="M19" s="454">
        <v>0</v>
      </c>
      <c r="N19" s="454">
        <v>0</v>
      </c>
      <c r="O19" s="454">
        <v>0</v>
      </c>
      <c r="P19" s="454">
        <v>1</v>
      </c>
      <c r="Q19" s="454">
        <v>0</v>
      </c>
      <c r="R19" s="454">
        <v>7</v>
      </c>
      <c r="S19" s="348" t="s">
        <v>397</v>
      </c>
      <c r="T19" s="157" t="s">
        <v>324</v>
      </c>
      <c r="U19" s="158" t="s">
        <v>289</v>
      </c>
      <c r="V19" s="158" t="s">
        <v>560</v>
      </c>
      <c r="W19" s="160" t="s">
        <v>611</v>
      </c>
      <c r="X19" s="158">
        <v>1</v>
      </c>
      <c r="Y19" s="158">
        <v>0</v>
      </c>
      <c r="Z19" s="158">
        <v>0</v>
      </c>
      <c r="AA19" s="158">
        <v>1</v>
      </c>
      <c r="AB19" s="158">
        <v>1</v>
      </c>
      <c r="AC19" s="158">
        <v>0</v>
      </c>
      <c r="AD19" s="158">
        <v>0</v>
      </c>
      <c r="AE19" s="158">
        <v>1</v>
      </c>
      <c r="AF19" s="158">
        <v>0</v>
      </c>
      <c r="AG19" s="158">
        <v>0</v>
      </c>
      <c r="AH19" s="158">
        <v>0</v>
      </c>
      <c r="AI19" s="157">
        <v>0</v>
      </c>
      <c r="AJ19" s="158">
        <v>0</v>
      </c>
      <c r="AK19" s="158">
        <v>0</v>
      </c>
      <c r="AL19" s="158">
        <v>0</v>
      </c>
      <c r="AM19" s="157">
        <v>0</v>
      </c>
    </row>
    <row r="20" spans="1:39" ht="14.95" customHeight="1" thickBot="1" x14ac:dyDescent="0.3">
      <c r="A20" s="178" t="s">
        <v>127</v>
      </c>
      <c r="B20" s="162" t="s">
        <v>73</v>
      </c>
      <c r="C20" s="147" t="s">
        <v>100</v>
      </c>
      <c r="D20" s="148" t="s">
        <v>12</v>
      </c>
      <c r="E20" s="148"/>
      <c r="F20" s="148"/>
      <c r="G20" s="148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337"/>
      <c r="T20" s="172"/>
      <c r="U20" s="164"/>
      <c r="V20" s="164"/>
      <c r="W20" s="166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72"/>
      <c r="AJ20" s="164"/>
      <c r="AK20" s="164"/>
      <c r="AL20" s="164"/>
      <c r="AM20" s="172"/>
    </row>
    <row r="21" spans="1:39" ht="14.95" customHeight="1" thickBot="1" x14ac:dyDescent="0.3">
      <c r="A21" s="178" t="s">
        <v>127</v>
      </c>
      <c r="B21" s="162" t="s">
        <v>73</v>
      </c>
      <c r="C21" s="147" t="s">
        <v>1</v>
      </c>
      <c r="D21" s="148" t="s">
        <v>153</v>
      </c>
      <c r="E21" s="148"/>
      <c r="F21" s="148"/>
      <c r="G21" s="148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2"/>
      <c r="T21" s="172"/>
      <c r="U21" s="164"/>
      <c r="V21" s="164"/>
      <c r="W21" s="166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72"/>
      <c r="AJ21" s="164"/>
      <c r="AK21" s="164"/>
      <c r="AL21" s="164"/>
      <c r="AM21" s="172"/>
    </row>
    <row r="22" spans="1:39" ht="14.95" customHeight="1" thickBot="1" x14ac:dyDescent="0.35">
      <c r="A22" s="178" t="s">
        <v>248</v>
      </c>
      <c r="B22" s="162" t="s">
        <v>73</v>
      </c>
      <c r="C22" s="147" t="s">
        <v>70</v>
      </c>
      <c r="D22" s="148" t="s">
        <v>12</v>
      </c>
      <c r="E22" s="148"/>
      <c r="F22" s="148"/>
      <c r="G22" s="148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176"/>
      <c r="T22" s="172"/>
      <c r="U22" s="164"/>
      <c r="V22" s="164"/>
      <c r="W22" s="166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72"/>
      <c r="AJ22" s="164"/>
      <c r="AK22" s="164"/>
      <c r="AL22" s="164"/>
      <c r="AM22" s="172"/>
    </row>
    <row r="23" spans="1:39" ht="14.95" customHeight="1" thickBot="1" x14ac:dyDescent="0.35">
      <c r="A23" s="502" t="s">
        <v>249</v>
      </c>
      <c r="B23" s="503" t="s">
        <v>128</v>
      </c>
      <c r="C23" s="504"/>
      <c r="D23" s="505"/>
      <c r="E23" s="505"/>
      <c r="F23" s="505"/>
      <c r="G23" s="505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07"/>
      <c r="T23" s="508"/>
      <c r="U23" s="509"/>
      <c r="V23" s="509"/>
      <c r="W23" s="510"/>
      <c r="X23" s="509"/>
      <c r="Y23" s="509"/>
      <c r="Z23" s="509"/>
      <c r="AA23" s="509"/>
      <c r="AB23" s="509"/>
      <c r="AC23" s="509"/>
      <c r="AD23" s="509"/>
      <c r="AE23" s="509"/>
      <c r="AF23" s="509"/>
      <c r="AG23" s="509"/>
      <c r="AH23" s="509"/>
      <c r="AI23" s="508"/>
      <c r="AJ23" s="509"/>
      <c r="AK23" s="509"/>
      <c r="AL23" s="509"/>
      <c r="AM23" s="508"/>
    </row>
    <row r="24" spans="1:39" ht="14.95" customHeight="1" thickBot="1" x14ac:dyDescent="0.3">
      <c r="A24" s="502" t="s">
        <v>250</v>
      </c>
      <c r="B24" s="503" t="s">
        <v>247</v>
      </c>
      <c r="C24" s="504"/>
      <c r="D24" s="505"/>
      <c r="E24" s="505"/>
      <c r="F24" s="505"/>
      <c r="G24" s="505"/>
      <c r="H24" s="506"/>
      <c r="I24" s="506"/>
      <c r="J24" s="506"/>
      <c r="K24" s="506"/>
      <c r="L24" s="506"/>
      <c r="M24" s="506"/>
      <c r="N24" s="506"/>
      <c r="O24" s="506"/>
      <c r="P24" s="506"/>
      <c r="Q24" s="506"/>
      <c r="R24" s="506"/>
      <c r="S24" s="511"/>
      <c r="T24" s="508"/>
      <c r="U24" s="509"/>
      <c r="V24" s="509"/>
      <c r="W24" s="510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09"/>
      <c r="AI24" s="508"/>
      <c r="AJ24" s="509"/>
      <c r="AK24" s="509"/>
      <c r="AL24" s="509"/>
      <c r="AM24" s="508"/>
    </row>
    <row r="25" spans="1:39" ht="14.95" customHeight="1" thickBot="1" x14ac:dyDescent="0.3">
      <c r="A25" s="120"/>
      <c r="B25" s="121"/>
      <c r="C25" s="741" t="s">
        <v>74</v>
      </c>
      <c r="D25" s="742"/>
      <c r="E25" s="743"/>
      <c r="F25" s="122">
        <f t="shared" ref="F25:R25" si="0">SUM(F7:F22)</f>
        <v>381</v>
      </c>
      <c r="G25" s="122">
        <f t="shared" si="0"/>
        <v>395</v>
      </c>
      <c r="H25" s="122">
        <f t="shared" si="0"/>
        <v>9</v>
      </c>
      <c r="I25" s="122">
        <f t="shared" si="0"/>
        <v>3</v>
      </c>
      <c r="J25" s="122">
        <f t="shared" si="0"/>
        <v>59</v>
      </c>
      <c r="K25" s="122">
        <f t="shared" si="0"/>
        <v>40</v>
      </c>
      <c r="L25" s="122">
        <f t="shared" si="0"/>
        <v>0</v>
      </c>
      <c r="M25" s="122">
        <f t="shared" si="0"/>
        <v>2</v>
      </c>
      <c r="N25" s="122">
        <f t="shared" si="0"/>
        <v>1</v>
      </c>
      <c r="O25" s="122">
        <f t="shared" si="0"/>
        <v>0</v>
      </c>
      <c r="P25" s="122">
        <f t="shared" si="0"/>
        <v>10</v>
      </c>
      <c r="Q25" s="122">
        <f t="shared" si="0"/>
        <v>1</v>
      </c>
      <c r="R25" s="122">
        <f t="shared" si="0"/>
        <v>62</v>
      </c>
      <c r="S25" s="123"/>
      <c r="T25" s="123"/>
      <c r="U25" s="124"/>
      <c r="V25" s="124"/>
      <c r="W25" s="125" t="s">
        <v>74</v>
      </c>
      <c r="X25" s="122">
        <f t="shared" ref="X25:AM25" si="1">SUM(X7:X22)</f>
        <v>13</v>
      </c>
      <c r="Y25" s="122">
        <f t="shared" si="1"/>
        <v>4</v>
      </c>
      <c r="Z25" s="122">
        <f t="shared" si="1"/>
        <v>2</v>
      </c>
      <c r="AA25" s="122">
        <f t="shared" si="1"/>
        <v>7</v>
      </c>
      <c r="AB25" s="126">
        <f t="shared" si="1"/>
        <v>7</v>
      </c>
      <c r="AC25" s="126">
        <f t="shared" si="1"/>
        <v>3</v>
      </c>
      <c r="AD25" s="126">
        <f t="shared" si="1"/>
        <v>2</v>
      </c>
      <c r="AE25" s="126">
        <f t="shared" si="1"/>
        <v>2</v>
      </c>
      <c r="AF25" s="127">
        <f t="shared" si="1"/>
        <v>6</v>
      </c>
      <c r="AG25" s="127">
        <f t="shared" si="1"/>
        <v>1</v>
      </c>
      <c r="AH25" s="127">
        <f t="shared" si="1"/>
        <v>0</v>
      </c>
      <c r="AI25" s="127">
        <f t="shared" si="1"/>
        <v>5</v>
      </c>
      <c r="AJ25" s="122">
        <f t="shared" si="1"/>
        <v>0</v>
      </c>
      <c r="AK25" s="122">
        <f t="shared" si="1"/>
        <v>0</v>
      </c>
      <c r="AL25" s="122">
        <f t="shared" si="1"/>
        <v>0</v>
      </c>
      <c r="AM25" s="122">
        <f t="shared" si="1"/>
        <v>0</v>
      </c>
    </row>
    <row r="26" spans="1:39" ht="14.95" customHeight="1" thickBot="1" x14ac:dyDescent="0.3">
      <c r="A26" s="128"/>
      <c r="B26" s="128"/>
      <c r="C26" s="741" t="s">
        <v>75</v>
      </c>
      <c r="D26" s="742"/>
      <c r="E26" s="743"/>
      <c r="F26" s="122">
        <f>F23+F24</f>
        <v>0</v>
      </c>
      <c r="G26" s="122">
        <f>G23+G24</f>
        <v>0</v>
      </c>
      <c r="H26" s="129" t="s">
        <v>42</v>
      </c>
      <c r="I26" s="129" t="s">
        <v>42</v>
      </c>
      <c r="J26" s="122">
        <f t="shared" ref="J26:O26" si="2">J23+J24</f>
        <v>0</v>
      </c>
      <c r="K26" s="122">
        <f t="shared" si="2"/>
        <v>0</v>
      </c>
      <c r="L26" s="122">
        <f t="shared" si="2"/>
        <v>0</v>
      </c>
      <c r="M26" s="122">
        <f t="shared" si="2"/>
        <v>0</v>
      </c>
      <c r="N26" s="122">
        <f t="shared" si="2"/>
        <v>0</v>
      </c>
      <c r="O26" s="122">
        <f t="shared" si="2"/>
        <v>0</v>
      </c>
      <c r="P26" s="129" t="s">
        <v>42</v>
      </c>
      <c r="Q26" s="129" t="s">
        <v>42</v>
      </c>
      <c r="R26" s="122">
        <f>R23+R24</f>
        <v>0</v>
      </c>
      <c r="S26" s="123"/>
      <c r="T26" s="123"/>
      <c r="U26" s="123"/>
      <c r="V26" s="124"/>
      <c r="W26" s="125" t="s">
        <v>75</v>
      </c>
      <c r="X26" s="122">
        <f t="shared" ref="X26:AM26" si="3">X23+X24</f>
        <v>0</v>
      </c>
      <c r="Y26" s="122">
        <f t="shared" si="3"/>
        <v>0</v>
      </c>
      <c r="Z26" s="122">
        <f t="shared" si="3"/>
        <v>0</v>
      </c>
      <c r="AA26" s="122">
        <f t="shared" si="3"/>
        <v>0</v>
      </c>
      <c r="AB26" s="126">
        <f t="shared" si="3"/>
        <v>0</v>
      </c>
      <c r="AC26" s="126">
        <f t="shared" si="3"/>
        <v>0</v>
      </c>
      <c r="AD26" s="126">
        <f t="shared" si="3"/>
        <v>0</v>
      </c>
      <c r="AE26" s="126">
        <f t="shared" si="3"/>
        <v>0</v>
      </c>
      <c r="AF26" s="130">
        <f t="shared" si="3"/>
        <v>0</v>
      </c>
      <c r="AG26" s="130">
        <f t="shared" si="3"/>
        <v>0</v>
      </c>
      <c r="AH26" s="130">
        <f t="shared" si="3"/>
        <v>0</v>
      </c>
      <c r="AI26" s="130">
        <f t="shared" si="3"/>
        <v>0</v>
      </c>
      <c r="AJ26" s="122">
        <f t="shared" si="3"/>
        <v>0</v>
      </c>
      <c r="AK26" s="122">
        <f t="shared" si="3"/>
        <v>0</v>
      </c>
      <c r="AL26" s="122">
        <f t="shared" si="3"/>
        <v>0</v>
      </c>
      <c r="AM26" s="122">
        <f t="shared" si="3"/>
        <v>0</v>
      </c>
    </row>
    <row r="27" spans="1:39" ht="14.95" customHeight="1" thickBot="1" x14ac:dyDescent="0.3">
      <c r="A27" s="128"/>
      <c r="B27" s="128"/>
      <c r="C27" s="741" t="s">
        <v>76</v>
      </c>
      <c r="D27" s="742"/>
      <c r="E27" s="743"/>
      <c r="F27" s="122">
        <f>SUM(F25+F26)</f>
        <v>381</v>
      </c>
      <c r="G27" s="122">
        <f t="shared" ref="G27:R27" si="4">SUM(G25+G26)</f>
        <v>395</v>
      </c>
      <c r="H27" s="122">
        <f>H25</f>
        <v>9</v>
      </c>
      <c r="I27" s="122">
        <f>I25</f>
        <v>3</v>
      </c>
      <c r="J27" s="122">
        <f t="shared" si="4"/>
        <v>59</v>
      </c>
      <c r="K27" s="122">
        <f t="shared" si="4"/>
        <v>40</v>
      </c>
      <c r="L27" s="122">
        <f t="shared" si="4"/>
        <v>0</v>
      </c>
      <c r="M27" s="122">
        <f t="shared" si="4"/>
        <v>2</v>
      </c>
      <c r="N27" s="122">
        <f t="shared" si="4"/>
        <v>1</v>
      </c>
      <c r="O27" s="122">
        <f t="shared" si="4"/>
        <v>0</v>
      </c>
      <c r="P27" s="122">
        <f t="shared" ref="P27:Q27" si="5">P25</f>
        <v>10</v>
      </c>
      <c r="Q27" s="122">
        <f t="shared" si="5"/>
        <v>1</v>
      </c>
      <c r="R27" s="122">
        <f t="shared" si="4"/>
        <v>62</v>
      </c>
      <c r="S27" s="123"/>
      <c r="T27" s="123"/>
      <c r="U27" s="123"/>
      <c r="V27" s="124"/>
      <c r="W27" s="125" t="s">
        <v>76</v>
      </c>
      <c r="X27" s="122">
        <f t="shared" ref="X27:AM27" si="6">SUM(X25+X26)</f>
        <v>13</v>
      </c>
      <c r="Y27" s="122">
        <f t="shared" si="6"/>
        <v>4</v>
      </c>
      <c r="Z27" s="122">
        <f t="shared" si="6"/>
        <v>2</v>
      </c>
      <c r="AA27" s="122">
        <f t="shared" si="6"/>
        <v>7</v>
      </c>
      <c r="AB27" s="126">
        <f t="shared" si="6"/>
        <v>7</v>
      </c>
      <c r="AC27" s="126">
        <f t="shared" si="6"/>
        <v>3</v>
      </c>
      <c r="AD27" s="126">
        <f t="shared" si="6"/>
        <v>2</v>
      </c>
      <c r="AE27" s="126">
        <f t="shared" si="6"/>
        <v>2</v>
      </c>
      <c r="AF27" s="127">
        <f t="shared" si="6"/>
        <v>6</v>
      </c>
      <c r="AG27" s="127">
        <f t="shared" si="6"/>
        <v>1</v>
      </c>
      <c r="AH27" s="127">
        <f t="shared" si="6"/>
        <v>0</v>
      </c>
      <c r="AI27" s="127">
        <f t="shared" si="6"/>
        <v>5</v>
      </c>
      <c r="AJ27" s="122">
        <f t="shared" si="6"/>
        <v>0</v>
      </c>
      <c r="AK27" s="122">
        <f t="shared" si="6"/>
        <v>0</v>
      </c>
      <c r="AL27" s="122">
        <f t="shared" si="6"/>
        <v>0</v>
      </c>
      <c r="AM27" s="122">
        <f t="shared" si="6"/>
        <v>0</v>
      </c>
    </row>
    <row r="28" spans="1:39" ht="14.95" customHeight="1" thickBot="1" x14ac:dyDescent="0.3">
      <c r="A28" s="34"/>
      <c r="C28" s="726" t="s">
        <v>441</v>
      </c>
      <c r="D28" s="727"/>
      <c r="E28" s="728"/>
      <c r="F28" s="644">
        <f>SUM(F3:F6)</f>
        <v>140</v>
      </c>
      <c r="G28" s="644">
        <f t="shared" ref="G28:R28" si="7">SUM(G3:G6)</f>
        <v>144</v>
      </c>
      <c r="H28" s="644">
        <f t="shared" si="7"/>
        <v>3</v>
      </c>
      <c r="I28" s="644">
        <f t="shared" si="7"/>
        <v>1</v>
      </c>
      <c r="J28" s="644">
        <f t="shared" si="7"/>
        <v>21</v>
      </c>
      <c r="K28" s="644">
        <f t="shared" si="7"/>
        <v>16</v>
      </c>
      <c r="L28" s="644">
        <f t="shared" si="7"/>
        <v>0</v>
      </c>
      <c r="M28" s="644">
        <f t="shared" si="7"/>
        <v>1</v>
      </c>
      <c r="N28" s="644">
        <f t="shared" si="7"/>
        <v>1</v>
      </c>
      <c r="O28" s="644">
        <f t="shared" si="7"/>
        <v>0</v>
      </c>
      <c r="P28" s="644">
        <f t="shared" si="7"/>
        <v>3</v>
      </c>
      <c r="Q28" s="644">
        <f t="shared" si="7"/>
        <v>0</v>
      </c>
      <c r="R28" s="644">
        <f t="shared" si="7"/>
        <v>24</v>
      </c>
      <c r="S28" s="645"/>
      <c r="T28" s="645"/>
      <c r="U28" s="645"/>
      <c r="V28" s="646"/>
      <c r="W28" s="647" t="s">
        <v>441</v>
      </c>
      <c r="X28" s="644">
        <f t="shared" ref="X28:AM28" si="8">SUM(X3:X6)</f>
        <v>4</v>
      </c>
      <c r="Y28" s="644">
        <f t="shared" si="8"/>
        <v>1</v>
      </c>
      <c r="Z28" s="644">
        <f t="shared" si="8"/>
        <v>0</v>
      </c>
      <c r="AA28" s="644">
        <f t="shared" si="8"/>
        <v>3</v>
      </c>
      <c r="AB28" s="648">
        <f t="shared" si="8"/>
        <v>2</v>
      </c>
      <c r="AC28" s="648">
        <f t="shared" si="8"/>
        <v>0</v>
      </c>
      <c r="AD28" s="648">
        <f t="shared" si="8"/>
        <v>0</v>
      </c>
      <c r="AE28" s="648">
        <f t="shared" si="8"/>
        <v>2</v>
      </c>
      <c r="AF28" s="649">
        <f t="shared" si="8"/>
        <v>2</v>
      </c>
      <c r="AG28" s="649">
        <f t="shared" si="8"/>
        <v>1</v>
      </c>
      <c r="AH28" s="649">
        <f t="shared" si="8"/>
        <v>0</v>
      </c>
      <c r="AI28" s="649">
        <f t="shared" si="8"/>
        <v>1</v>
      </c>
      <c r="AJ28" s="644">
        <f t="shared" si="8"/>
        <v>0</v>
      </c>
      <c r="AK28" s="644">
        <f t="shared" si="8"/>
        <v>0</v>
      </c>
      <c r="AL28" s="644">
        <f t="shared" si="8"/>
        <v>0</v>
      </c>
      <c r="AM28" s="644">
        <f t="shared" si="8"/>
        <v>0</v>
      </c>
    </row>
    <row r="29" spans="1:39" ht="14.95" customHeight="1" thickBot="1" x14ac:dyDescent="0.3">
      <c r="A29" s="501"/>
      <c r="C29" s="726" t="s">
        <v>442</v>
      </c>
      <c r="D29" s="727"/>
      <c r="E29" s="728"/>
      <c r="F29" s="644">
        <v>0</v>
      </c>
      <c r="G29" s="644">
        <v>0</v>
      </c>
      <c r="H29" s="644">
        <v>0</v>
      </c>
      <c r="I29" s="644">
        <v>0</v>
      </c>
      <c r="J29" s="644">
        <v>0</v>
      </c>
      <c r="K29" s="644">
        <v>0</v>
      </c>
      <c r="L29" s="644">
        <v>0</v>
      </c>
      <c r="M29" s="644">
        <v>0</v>
      </c>
      <c r="N29" s="644">
        <v>0</v>
      </c>
      <c r="O29" s="644">
        <v>0</v>
      </c>
      <c r="P29" s="644">
        <v>0</v>
      </c>
      <c r="Q29" s="644">
        <v>0</v>
      </c>
      <c r="R29" s="644">
        <v>0</v>
      </c>
      <c r="S29" s="645"/>
      <c r="T29" s="645"/>
      <c r="U29" s="645"/>
      <c r="V29" s="646"/>
      <c r="W29" s="647" t="s">
        <v>442</v>
      </c>
      <c r="X29" s="644">
        <v>0</v>
      </c>
      <c r="Y29" s="644">
        <v>0</v>
      </c>
      <c r="Z29" s="644">
        <v>0</v>
      </c>
      <c r="AA29" s="644">
        <v>0</v>
      </c>
      <c r="AB29" s="648">
        <v>0</v>
      </c>
      <c r="AC29" s="648">
        <v>0</v>
      </c>
      <c r="AD29" s="648">
        <v>0</v>
      </c>
      <c r="AE29" s="648">
        <v>0</v>
      </c>
      <c r="AF29" s="649">
        <v>0</v>
      </c>
      <c r="AG29" s="649">
        <v>0</v>
      </c>
      <c r="AH29" s="649">
        <v>0</v>
      </c>
      <c r="AI29" s="649">
        <v>0</v>
      </c>
      <c r="AJ29" s="644">
        <v>0</v>
      </c>
      <c r="AK29" s="644">
        <v>0</v>
      </c>
      <c r="AL29" s="644">
        <v>0</v>
      </c>
      <c r="AM29" s="644">
        <v>0</v>
      </c>
    </row>
    <row r="30" spans="1:39" ht="14.95" customHeight="1" thickBot="1" x14ac:dyDescent="0.35">
      <c r="A30" s="475"/>
      <c r="C30" s="726" t="s">
        <v>440</v>
      </c>
      <c r="D30" s="727"/>
      <c r="E30" s="728"/>
      <c r="F30" s="644">
        <f>SUM(F28+F29)</f>
        <v>140</v>
      </c>
      <c r="G30" s="644">
        <f t="shared" ref="G30:R30" si="9">SUM(G28+G29)</f>
        <v>144</v>
      </c>
      <c r="H30" s="644">
        <f t="shared" si="9"/>
        <v>3</v>
      </c>
      <c r="I30" s="644">
        <f t="shared" si="9"/>
        <v>1</v>
      </c>
      <c r="J30" s="644">
        <f t="shared" si="9"/>
        <v>21</v>
      </c>
      <c r="K30" s="644">
        <f t="shared" si="9"/>
        <v>16</v>
      </c>
      <c r="L30" s="644">
        <f t="shared" si="9"/>
        <v>0</v>
      </c>
      <c r="M30" s="644">
        <f t="shared" si="9"/>
        <v>1</v>
      </c>
      <c r="N30" s="644">
        <f t="shared" si="9"/>
        <v>1</v>
      </c>
      <c r="O30" s="644">
        <f t="shared" si="9"/>
        <v>0</v>
      </c>
      <c r="P30" s="644">
        <f t="shared" si="9"/>
        <v>3</v>
      </c>
      <c r="Q30" s="644">
        <f t="shared" si="9"/>
        <v>0</v>
      </c>
      <c r="R30" s="644">
        <f t="shared" si="9"/>
        <v>24</v>
      </c>
      <c r="S30" s="645"/>
      <c r="T30" s="645"/>
      <c r="U30" s="645"/>
      <c r="V30" s="646"/>
      <c r="W30" s="647" t="s">
        <v>440</v>
      </c>
      <c r="X30" s="644">
        <f t="shared" ref="X30:AM30" si="10">SUM(X28+X29)</f>
        <v>4</v>
      </c>
      <c r="Y30" s="644">
        <f t="shared" si="10"/>
        <v>1</v>
      </c>
      <c r="Z30" s="644">
        <f t="shared" si="10"/>
        <v>0</v>
      </c>
      <c r="AA30" s="644">
        <f t="shared" si="10"/>
        <v>3</v>
      </c>
      <c r="AB30" s="648">
        <f t="shared" si="10"/>
        <v>2</v>
      </c>
      <c r="AC30" s="648">
        <f t="shared" si="10"/>
        <v>0</v>
      </c>
      <c r="AD30" s="648">
        <f t="shared" si="10"/>
        <v>0</v>
      </c>
      <c r="AE30" s="648">
        <f t="shared" si="10"/>
        <v>2</v>
      </c>
      <c r="AF30" s="649">
        <f t="shared" si="10"/>
        <v>2</v>
      </c>
      <c r="AG30" s="649">
        <f t="shared" si="10"/>
        <v>1</v>
      </c>
      <c r="AH30" s="649">
        <f t="shared" si="10"/>
        <v>0</v>
      </c>
      <c r="AI30" s="649">
        <f t="shared" si="10"/>
        <v>1</v>
      </c>
      <c r="AJ30" s="644">
        <f t="shared" si="10"/>
        <v>0</v>
      </c>
      <c r="AK30" s="644">
        <f t="shared" si="10"/>
        <v>0</v>
      </c>
      <c r="AL30" s="644">
        <f t="shared" si="10"/>
        <v>0</v>
      </c>
      <c r="AM30" s="644">
        <f t="shared" si="10"/>
        <v>0</v>
      </c>
    </row>
    <row r="31" spans="1:39" ht="14.95" customHeight="1" thickBot="1" x14ac:dyDescent="0.3">
      <c r="A31" s="34"/>
      <c r="C31" s="69" t="s">
        <v>29</v>
      </c>
      <c r="D31" s="70"/>
      <c r="E31" s="71"/>
      <c r="F31" s="72">
        <f>SUM(F3:F24)</f>
        <v>521</v>
      </c>
      <c r="G31" s="72">
        <f t="shared" ref="G31:R31" si="11">SUM(G3:G24)</f>
        <v>539</v>
      </c>
      <c r="H31" s="72">
        <f t="shared" si="11"/>
        <v>12</v>
      </c>
      <c r="I31" s="73">
        <f t="shared" si="11"/>
        <v>4</v>
      </c>
      <c r="J31" s="72">
        <f t="shared" si="11"/>
        <v>80</v>
      </c>
      <c r="K31" s="72">
        <f t="shared" si="11"/>
        <v>56</v>
      </c>
      <c r="L31" s="72">
        <f t="shared" si="11"/>
        <v>0</v>
      </c>
      <c r="M31" s="72">
        <f t="shared" si="11"/>
        <v>3</v>
      </c>
      <c r="N31" s="72">
        <f t="shared" si="11"/>
        <v>2</v>
      </c>
      <c r="O31" s="72">
        <f t="shared" si="11"/>
        <v>0</v>
      </c>
      <c r="P31" s="72">
        <f t="shared" si="11"/>
        <v>13</v>
      </c>
      <c r="Q31" s="72">
        <f t="shared" si="11"/>
        <v>1</v>
      </c>
      <c r="R31" s="72">
        <f t="shared" si="11"/>
        <v>86</v>
      </c>
      <c r="S31" s="40"/>
      <c r="T31" s="40"/>
      <c r="U31" s="40"/>
      <c r="V31" s="40"/>
      <c r="W31" s="65" t="s">
        <v>29</v>
      </c>
      <c r="X31" s="72">
        <f t="shared" ref="X31:AM31" si="12">SUM(X3:X24)</f>
        <v>17</v>
      </c>
      <c r="Y31" s="72">
        <f t="shared" si="12"/>
        <v>5</v>
      </c>
      <c r="Z31" s="72">
        <f t="shared" si="12"/>
        <v>2</v>
      </c>
      <c r="AA31" s="73">
        <f t="shared" si="12"/>
        <v>10</v>
      </c>
      <c r="AB31" s="66">
        <f t="shared" si="12"/>
        <v>9</v>
      </c>
      <c r="AC31" s="66">
        <f t="shared" si="12"/>
        <v>3</v>
      </c>
      <c r="AD31" s="66">
        <f t="shared" si="12"/>
        <v>2</v>
      </c>
      <c r="AE31" s="66">
        <f t="shared" si="12"/>
        <v>4</v>
      </c>
      <c r="AF31" s="75">
        <f t="shared" si="12"/>
        <v>8</v>
      </c>
      <c r="AG31" s="75">
        <f t="shared" si="12"/>
        <v>2</v>
      </c>
      <c r="AH31" s="75">
        <f t="shared" si="12"/>
        <v>0</v>
      </c>
      <c r="AI31" s="75">
        <f t="shared" si="12"/>
        <v>6</v>
      </c>
      <c r="AJ31" s="72">
        <f t="shared" si="12"/>
        <v>0</v>
      </c>
      <c r="AK31" s="72">
        <f t="shared" si="12"/>
        <v>0</v>
      </c>
      <c r="AL31" s="72">
        <f t="shared" si="12"/>
        <v>0</v>
      </c>
      <c r="AM31" s="72">
        <f t="shared" si="12"/>
        <v>0</v>
      </c>
    </row>
    <row r="32" spans="1:39" ht="14.95" customHeight="1" x14ac:dyDescent="0.25">
      <c r="A32" s="34" t="s">
        <v>542</v>
      </c>
    </row>
    <row r="33" spans="1:1" ht="14.95" customHeight="1" x14ac:dyDescent="0.25">
      <c r="A33" s="501" t="s">
        <v>229</v>
      </c>
    </row>
    <row r="34" spans="1:1" ht="14.95" customHeight="1" x14ac:dyDescent="0.3">
      <c r="A34" s="475" t="s">
        <v>47</v>
      </c>
    </row>
  </sheetData>
  <mergeCells count="17">
    <mergeCell ref="AO1:AP1"/>
    <mergeCell ref="C27:E27"/>
    <mergeCell ref="X1:AA1"/>
    <mergeCell ref="AB1:AE1"/>
    <mergeCell ref="AF1:AI1"/>
    <mergeCell ref="AJ1:AM1"/>
    <mergeCell ref="C25:E25"/>
    <mergeCell ref="C26:E26"/>
    <mergeCell ref="A1:D1"/>
    <mergeCell ref="E1:G1"/>
    <mergeCell ref="H1:I1"/>
    <mergeCell ref="J1:M1"/>
    <mergeCell ref="N1:O1"/>
    <mergeCell ref="P1:R1"/>
    <mergeCell ref="C28:E28"/>
    <mergeCell ref="C29:E29"/>
    <mergeCell ref="C30:E30"/>
  </mergeCells>
  <pageMargins left="0.7" right="0.7" top="0.75" bottom="0.75" header="0.3" footer="0.3"/>
  <ignoredErrors>
    <ignoredError sqref="S5 S14" twoDigitTextYear="1"/>
    <ignoredError sqref="S31:W31 F25:AM25 F28:AM28" formulaRange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6470-FC13-4591-9038-40BA88D8C0A3}">
  <dimension ref="A1:AP34"/>
  <sheetViews>
    <sheetView zoomScale="90" zoomScaleNormal="90" workbookViewId="0">
      <selection activeCell="U12" sqref="U12"/>
    </sheetView>
  </sheetViews>
  <sheetFormatPr defaultRowHeight="14.3" x14ac:dyDescent="0.25"/>
  <cols>
    <col min="1" max="1" width="9.75" customWidth="1"/>
    <col min="2" max="2" width="5.75" customWidth="1"/>
    <col min="3" max="3" width="13.625" bestFit="1" customWidth="1"/>
    <col min="4" max="18" width="3.75" customWidth="1"/>
    <col min="19" max="19" width="5.75" customWidth="1"/>
    <col min="20" max="20" width="15.375" bestFit="1" customWidth="1"/>
    <col min="21" max="21" width="9.875" bestFit="1" customWidth="1"/>
    <col min="22" max="22" width="14.375" bestFit="1" customWidth="1"/>
    <col min="23" max="23" width="15.625" bestFit="1" customWidth="1"/>
    <col min="24" max="39" width="3.75" customWidth="1"/>
    <col min="40" max="40" width="1.625" customWidth="1"/>
    <col min="41" max="41" width="12.75" bestFit="1" customWidth="1"/>
  </cols>
  <sheetData>
    <row r="1" spans="1:42" ht="14.95" customHeight="1" thickBot="1" x14ac:dyDescent="0.3">
      <c r="A1" s="817" t="s">
        <v>237</v>
      </c>
      <c r="B1" s="818"/>
      <c r="C1" s="818"/>
      <c r="D1" s="819"/>
      <c r="E1" s="820" t="s">
        <v>36</v>
      </c>
      <c r="F1" s="821"/>
      <c r="G1" s="822"/>
      <c r="H1" s="820" t="s">
        <v>35</v>
      </c>
      <c r="I1" s="822"/>
      <c r="J1" s="823" t="s">
        <v>16</v>
      </c>
      <c r="K1" s="824"/>
      <c r="L1" s="824"/>
      <c r="M1" s="825"/>
      <c r="N1" s="823" t="s">
        <v>17</v>
      </c>
      <c r="O1" s="825"/>
      <c r="P1" s="823" t="s">
        <v>38</v>
      </c>
      <c r="Q1" s="824"/>
      <c r="R1" s="825"/>
      <c r="S1" s="131" t="s">
        <v>18</v>
      </c>
      <c r="T1" s="132" t="s">
        <v>19</v>
      </c>
      <c r="U1" s="133" t="s">
        <v>20</v>
      </c>
      <c r="V1" s="133" t="s">
        <v>44</v>
      </c>
      <c r="W1" s="134" t="s">
        <v>45</v>
      </c>
      <c r="X1" s="814" t="s">
        <v>30</v>
      </c>
      <c r="Y1" s="815"/>
      <c r="Z1" s="815"/>
      <c r="AA1" s="816"/>
      <c r="AB1" s="814" t="s">
        <v>31</v>
      </c>
      <c r="AC1" s="815"/>
      <c r="AD1" s="815"/>
      <c r="AE1" s="816"/>
      <c r="AF1" s="814" t="s">
        <v>32</v>
      </c>
      <c r="AG1" s="815"/>
      <c r="AH1" s="815"/>
      <c r="AI1" s="816"/>
      <c r="AJ1" s="814" t="s">
        <v>48</v>
      </c>
      <c r="AK1" s="815"/>
      <c r="AL1" s="815"/>
      <c r="AM1" s="816"/>
      <c r="AO1" s="438" t="s">
        <v>203</v>
      </c>
    </row>
    <row r="2" spans="1:42" ht="14.95" customHeight="1" thickBot="1" x14ac:dyDescent="0.3">
      <c r="A2" s="135" t="s">
        <v>28</v>
      </c>
      <c r="B2" s="136" t="s">
        <v>27</v>
      </c>
      <c r="C2" s="137" t="s">
        <v>26</v>
      </c>
      <c r="D2" s="137" t="s">
        <v>37</v>
      </c>
      <c r="E2" s="138" t="s">
        <v>25</v>
      </c>
      <c r="F2" s="138" t="s">
        <v>11</v>
      </c>
      <c r="G2" s="138" t="s">
        <v>12</v>
      </c>
      <c r="H2" s="139" t="s">
        <v>33</v>
      </c>
      <c r="I2" s="139" t="s">
        <v>34</v>
      </c>
      <c r="J2" s="139" t="s">
        <v>21</v>
      </c>
      <c r="K2" s="139" t="s">
        <v>22</v>
      </c>
      <c r="L2" s="139" t="s">
        <v>9</v>
      </c>
      <c r="M2" s="139" t="s">
        <v>23</v>
      </c>
      <c r="N2" s="139" t="s">
        <v>24</v>
      </c>
      <c r="O2" s="139" t="s">
        <v>25</v>
      </c>
      <c r="P2" s="139" t="s">
        <v>33</v>
      </c>
      <c r="Q2" s="139" t="s">
        <v>34</v>
      </c>
      <c r="R2" s="139" t="s">
        <v>21</v>
      </c>
      <c r="S2" s="140"/>
      <c r="T2" s="141"/>
      <c r="U2" s="142"/>
      <c r="V2" s="142"/>
      <c r="W2" s="143"/>
      <c r="X2" s="144" t="s">
        <v>7</v>
      </c>
      <c r="Y2" s="144" t="s">
        <v>8</v>
      </c>
      <c r="Z2" s="144" t="s">
        <v>9</v>
      </c>
      <c r="AA2" s="144" t="s">
        <v>10</v>
      </c>
      <c r="AB2" s="144" t="s">
        <v>7</v>
      </c>
      <c r="AC2" s="144" t="s">
        <v>8</v>
      </c>
      <c r="AD2" s="144" t="s">
        <v>9</v>
      </c>
      <c r="AE2" s="144" t="s">
        <v>10</v>
      </c>
      <c r="AF2" s="144" t="s">
        <v>7</v>
      </c>
      <c r="AG2" s="144" t="s">
        <v>8</v>
      </c>
      <c r="AH2" s="144" t="s">
        <v>9</v>
      </c>
      <c r="AI2" s="145" t="s">
        <v>10</v>
      </c>
      <c r="AJ2" s="144" t="s">
        <v>7</v>
      </c>
      <c r="AK2" s="144" t="s">
        <v>8</v>
      </c>
      <c r="AL2" s="144" t="s">
        <v>9</v>
      </c>
      <c r="AM2" s="144" t="s">
        <v>10</v>
      </c>
      <c r="AO2" s="319" t="s">
        <v>197</v>
      </c>
      <c r="AP2" s="1"/>
    </row>
    <row r="3" spans="1:42" ht="14.95" customHeight="1" thickBot="1" x14ac:dyDescent="0.35">
      <c r="A3" s="611" t="s">
        <v>270</v>
      </c>
      <c r="B3" s="541" t="s">
        <v>415</v>
      </c>
      <c r="C3" s="541" t="s">
        <v>540</v>
      </c>
      <c r="D3" s="542" t="s">
        <v>164</v>
      </c>
      <c r="E3" s="542" t="s">
        <v>8</v>
      </c>
      <c r="F3" s="542">
        <v>37</v>
      </c>
      <c r="G3" s="542">
        <v>28</v>
      </c>
      <c r="H3" s="602">
        <v>1</v>
      </c>
      <c r="I3" s="602">
        <v>0</v>
      </c>
      <c r="J3" s="602">
        <v>7</v>
      </c>
      <c r="K3" s="602">
        <v>1</v>
      </c>
      <c r="L3" s="602">
        <v>0</v>
      </c>
      <c r="M3" s="602">
        <v>0</v>
      </c>
      <c r="N3" s="602">
        <v>1</v>
      </c>
      <c r="O3" s="602">
        <v>0</v>
      </c>
      <c r="P3" s="602">
        <v>1</v>
      </c>
      <c r="Q3" s="602">
        <v>0</v>
      </c>
      <c r="R3" s="602">
        <v>4</v>
      </c>
      <c r="S3" s="543" t="s">
        <v>419</v>
      </c>
      <c r="T3" s="544"/>
      <c r="U3" s="545"/>
      <c r="V3" s="545"/>
      <c r="W3" s="546"/>
      <c r="X3" s="615">
        <v>1</v>
      </c>
      <c r="Y3" s="615">
        <v>1</v>
      </c>
      <c r="Z3" s="615">
        <v>0</v>
      </c>
      <c r="AA3" s="616">
        <v>0</v>
      </c>
      <c r="AB3" s="615">
        <v>0</v>
      </c>
      <c r="AC3" s="615">
        <v>0</v>
      </c>
      <c r="AD3" s="615">
        <v>0</v>
      </c>
      <c r="AE3" s="616">
        <v>0</v>
      </c>
      <c r="AF3" s="615">
        <v>1</v>
      </c>
      <c r="AG3" s="615">
        <v>1</v>
      </c>
      <c r="AH3" s="615">
        <v>0</v>
      </c>
      <c r="AI3" s="617">
        <v>0</v>
      </c>
      <c r="AJ3" s="615">
        <v>0</v>
      </c>
      <c r="AK3" s="615">
        <v>0</v>
      </c>
      <c r="AL3" s="615">
        <v>0</v>
      </c>
      <c r="AM3" s="615">
        <v>0</v>
      </c>
      <c r="AO3" s="435" t="s">
        <v>64</v>
      </c>
      <c r="AP3" s="436">
        <f>salePWRhistplayed</f>
        <v>100</v>
      </c>
    </row>
    <row r="4" spans="1:42" ht="14.95" customHeight="1" thickBot="1" x14ac:dyDescent="0.35">
      <c r="A4" s="553" t="s">
        <v>273</v>
      </c>
      <c r="B4" s="530" t="s">
        <v>415</v>
      </c>
      <c r="C4" s="530" t="s">
        <v>70</v>
      </c>
      <c r="D4" s="531" t="s">
        <v>153</v>
      </c>
      <c r="E4" s="531" t="s">
        <v>8</v>
      </c>
      <c r="F4" s="531">
        <v>50</v>
      </c>
      <c r="G4" s="531">
        <v>0</v>
      </c>
      <c r="H4" s="601">
        <v>1</v>
      </c>
      <c r="I4" s="601">
        <v>0</v>
      </c>
      <c r="J4" s="601">
        <v>8</v>
      </c>
      <c r="K4" s="601">
        <v>5</v>
      </c>
      <c r="L4" s="601">
        <v>0</v>
      </c>
      <c r="M4" s="601">
        <v>0</v>
      </c>
      <c r="N4" s="601">
        <v>0</v>
      </c>
      <c r="O4" s="601">
        <v>0</v>
      </c>
      <c r="P4" s="601">
        <v>0</v>
      </c>
      <c r="Q4" s="601">
        <v>0</v>
      </c>
      <c r="R4" s="601">
        <v>0</v>
      </c>
      <c r="S4" s="539" t="s">
        <v>420</v>
      </c>
      <c r="T4" s="532" t="s">
        <v>285</v>
      </c>
      <c r="U4" s="533" t="s">
        <v>50</v>
      </c>
      <c r="V4" s="533" t="s">
        <v>438</v>
      </c>
      <c r="W4" s="534" t="s">
        <v>290</v>
      </c>
      <c r="X4" s="618">
        <v>1</v>
      </c>
      <c r="Y4" s="618">
        <v>1</v>
      </c>
      <c r="Z4" s="618">
        <v>0</v>
      </c>
      <c r="AA4" s="619">
        <v>0</v>
      </c>
      <c r="AB4" s="618">
        <v>1</v>
      </c>
      <c r="AC4" s="618">
        <v>1</v>
      </c>
      <c r="AD4" s="618">
        <v>0</v>
      </c>
      <c r="AE4" s="619">
        <v>0</v>
      </c>
      <c r="AF4" s="618">
        <v>0</v>
      </c>
      <c r="AG4" s="618">
        <v>0</v>
      </c>
      <c r="AH4" s="618">
        <v>0</v>
      </c>
      <c r="AI4" s="620">
        <v>0</v>
      </c>
      <c r="AJ4" s="618">
        <v>0</v>
      </c>
      <c r="AK4" s="618">
        <v>0</v>
      </c>
      <c r="AL4" s="618">
        <v>0</v>
      </c>
      <c r="AM4" s="618">
        <v>0</v>
      </c>
      <c r="AO4" s="373" t="s">
        <v>65</v>
      </c>
      <c r="AP4" s="437">
        <f>salePWRhistwon</f>
        <v>23</v>
      </c>
    </row>
    <row r="5" spans="1:42" ht="14.95" customHeight="1" thickBot="1" x14ac:dyDescent="0.3">
      <c r="A5" s="553" t="s">
        <v>259</v>
      </c>
      <c r="B5" s="530" t="s">
        <v>415</v>
      </c>
      <c r="C5" s="530" t="s">
        <v>1</v>
      </c>
      <c r="D5" s="531" t="s">
        <v>153</v>
      </c>
      <c r="E5" s="531" t="s">
        <v>10</v>
      </c>
      <c r="F5" s="531">
        <v>14</v>
      </c>
      <c r="G5" s="531">
        <v>27</v>
      </c>
      <c r="H5" s="601">
        <v>0</v>
      </c>
      <c r="I5" s="601">
        <v>0</v>
      </c>
      <c r="J5" s="601">
        <v>2</v>
      </c>
      <c r="K5" s="601">
        <v>2</v>
      </c>
      <c r="L5" s="601">
        <v>0</v>
      </c>
      <c r="M5" s="601">
        <v>0</v>
      </c>
      <c r="N5" s="601">
        <v>0</v>
      </c>
      <c r="O5" s="601">
        <v>0</v>
      </c>
      <c r="P5" s="601">
        <v>1</v>
      </c>
      <c r="Q5" s="601">
        <v>0</v>
      </c>
      <c r="R5" s="601">
        <v>5</v>
      </c>
      <c r="S5" s="614" t="s">
        <v>421</v>
      </c>
      <c r="T5" s="532" t="s">
        <v>326</v>
      </c>
      <c r="U5" s="533" t="s">
        <v>50</v>
      </c>
      <c r="V5" s="533" t="s">
        <v>327</v>
      </c>
      <c r="W5" s="534" t="s">
        <v>325</v>
      </c>
      <c r="X5" s="618">
        <v>1</v>
      </c>
      <c r="Y5" s="618">
        <v>0</v>
      </c>
      <c r="Z5" s="618">
        <v>0</v>
      </c>
      <c r="AA5" s="619">
        <v>1</v>
      </c>
      <c r="AB5" s="618">
        <v>1</v>
      </c>
      <c r="AC5" s="618">
        <v>0</v>
      </c>
      <c r="AD5" s="618">
        <v>0</v>
      </c>
      <c r="AE5" s="619">
        <v>1</v>
      </c>
      <c r="AF5" s="618">
        <v>0</v>
      </c>
      <c r="AG5" s="618">
        <v>0</v>
      </c>
      <c r="AH5" s="618">
        <v>0</v>
      </c>
      <c r="AI5" s="620">
        <v>0</v>
      </c>
      <c r="AJ5" s="618">
        <v>0</v>
      </c>
      <c r="AK5" s="618">
        <v>0</v>
      </c>
      <c r="AL5" s="618">
        <v>0</v>
      </c>
      <c r="AM5" s="618">
        <v>0</v>
      </c>
      <c r="AO5" s="373" t="s">
        <v>192</v>
      </c>
      <c r="AP5" s="437">
        <f>salePWRhistdrawn</f>
        <v>1</v>
      </c>
    </row>
    <row r="6" spans="1:42" ht="14.95" customHeight="1" thickBot="1" x14ac:dyDescent="0.35">
      <c r="A6" s="550" t="s">
        <v>262</v>
      </c>
      <c r="B6" s="541" t="s">
        <v>415</v>
      </c>
      <c r="C6" s="541" t="s">
        <v>49</v>
      </c>
      <c r="D6" s="542" t="s">
        <v>12</v>
      </c>
      <c r="E6" s="542" t="s">
        <v>10</v>
      </c>
      <c r="F6" s="542">
        <v>12</v>
      </c>
      <c r="G6" s="542">
        <v>15</v>
      </c>
      <c r="H6" s="602">
        <v>0</v>
      </c>
      <c r="I6" s="602">
        <v>1</v>
      </c>
      <c r="J6" s="602">
        <v>2</v>
      </c>
      <c r="K6" s="602">
        <v>1</v>
      </c>
      <c r="L6" s="602">
        <v>0</v>
      </c>
      <c r="M6" s="602">
        <v>0</v>
      </c>
      <c r="N6" s="602">
        <v>0</v>
      </c>
      <c r="O6" s="602">
        <v>0</v>
      </c>
      <c r="P6" s="602">
        <v>0</v>
      </c>
      <c r="Q6" s="602">
        <v>0</v>
      </c>
      <c r="R6" s="602">
        <v>3</v>
      </c>
      <c r="S6" s="633" t="s">
        <v>422</v>
      </c>
      <c r="T6" s="544" t="s">
        <v>296</v>
      </c>
      <c r="U6" s="545" t="s">
        <v>50</v>
      </c>
      <c r="V6" s="613" t="s">
        <v>439</v>
      </c>
      <c r="W6" s="546" t="s">
        <v>384</v>
      </c>
      <c r="X6" s="615">
        <v>1</v>
      </c>
      <c r="Y6" s="615">
        <v>0</v>
      </c>
      <c r="Z6" s="615">
        <v>0</v>
      </c>
      <c r="AA6" s="616">
        <v>1</v>
      </c>
      <c r="AB6" s="615">
        <v>0</v>
      </c>
      <c r="AC6" s="615">
        <v>0</v>
      </c>
      <c r="AD6" s="615">
        <v>0</v>
      </c>
      <c r="AE6" s="616">
        <v>0</v>
      </c>
      <c r="AF6" s="615">
        <v>1</v>
      </c>
      <c r="AG6" s="615">
        <v>0</v>
      </c>
      <c r="AH6" s="615">
        <v>0</v>
      </c>
      <c r="AI6" s="617">
        <v>1</v>
      </c>
      <c r="AJ6" s="615">
        <v>0</v>
      </c>
      <c r="AK6" s="615">
        <v>0</v>
      </c>
      <c r="AL6" s="615">
        <v>0</v>
      </c>
      <c r="AM6" s="615">
        <v>0</v>
      </c>
      <c r="AO6" s="373" t="s">
        <v>66</v>
      </c>
      <c r="AP6" s="437">
        <f>salePWRhistlost</f>
        <v>76</v>
      </c>
    </row>
    <row r="7" spans="1:42" ht="14.95" customHeight="1" thickBot="1" x14ac:dyDescent="0.35">
      <c r="A7" s="498" t="s">
        <v>240</v>
      </c>
      <c r="B7" s="152" t="s">
        <v>73</v>
      </c>
      <c r="C7" s="152" t="s">
        <v>70</v>
      </c>
      <c r="D7" s="153" t="s">
        <v>153</v>
      </c>
      <c r="E7" s="153" t="s">
        <v>8</v>
      </c>
      <c r="F7" s="153">
        <v>46</v>
      </c>
      <c r="G7" s="153">
        <v>17</v>
      </c>
      <c r="H7" s="454">
        <v>1</v>
      </c>
      <c r="I7" s="454">
        <v>0</v>
      </c>
      <c r="J7" s="454">
        <v>8</v>
      </c>
      <c r="K7" s="454">
        <v>2</v>
      </c>
      <c r="L7" s="454">
        <v>0</v>
      </c>
      <c r="M7" s="454">
        <v>0</v>
      </c>
      <c r="N7" s="454">
        <v>1</v>
      </c>
      <c r="O7" s="454">
        <v>1</v>
      </c>
      <c r="P7" s="454">
        <v>0</v>
      </c>
      <c r="Q7" s="454">
        <v>0</v>
      </c>
      <c r="R7" s="454">
        <v>3</v>
      </c>
      <c r="S7" s="347" t="s">
        <v>315</v>
      </c>
      <c r="T7" s="338" t="s">
        <v>294</v>
      </c>
      <c r="U7" s="339" t="s">
        <v>50</v>
      </c>
      <c r="V7" s="340" t="s">
        <v>290</v>
      </c>
      <c r="W7" s="340" t="s">
        <v>295</v>
      </c>
      <c r="X7" s="621">
        <v>1</v>
      </c>
      <c r="Y7" s="621">
        <v>1</v>
      </c>
      <c r="Z7" s="621">
        <v>0</v>
      </c>
      <c r="AA7" s="622">
        <v>0</v>
      </c>
      <c r="AB7" s="621">
        <v>1</v>
      </c>
      <c r="AC7" s="621">
        <v>1</v>
      </c>
      <c r="AD7" s="621">
        <v>0</v>
      </c>
      <c r="AE7" s="622">
        <v>0</v>
      </c>
      <c r="AF7" s="621">
        <v>0</v>
      </c>
      <c r="AG7" s="621">
        <v>0</v>
      </c>
      <c r="AH7" s="621">
        <v>0</v>
      </c>
      <c r="AI7" s="623">
        <v>0</v>
      </c>
      <c r="AJ7" s="621">
        <v>0</v>
      </c>
      <c r="AK7" s="621">
        <v>0</v>
      </c>
      <c r="AL7" s="621">
        <v>0</v>
      </c>
      <c r="AM7" s="621">
        <v>0</v>
      </c>
      <c r="AO7" s="373" t="s">
        <v>193</v>
      </c>
      <c r="AP7" s="437">
        <f>salePWRhistptsfor</f>
        <v>1760</v>
      </c>
    </row>
    <row r="8" spans="1:42" ht="14.95" customHeight="1" thickBot="1" x14ac:dyDescent="0.3">
      <c r="A8" s="485" t="s">
        <v>157</v>
      </c>
      <c r="B8" s="147" t="s">
        <v>73</v>
      </c>
      <c r="C8" s="147" t="s">
        <v>540</v>
      </c>
      <c r="D8" s="148" t="s">
        <v>12</v>
      </c>
      <c r="E8" s="148" t="s">
        <v>10</v>
      </c>
      <c r="F8" s="148">
        <v>12</v>
      </c>
      <c r="G8" s="148">
        <v>19</v>
      </c>
      <c r="H8" s="453">
        <v>0</v>
      </c>
      <c r="I8" s="453">
        <v>1</v>
      </c>
      <c r="J8" s="453">
        <v>2</v>
      </c>
      <c r="K8" s="453">
        <v>1</v>
      </c>
      <c r="L8" s="453">
        <v>0</v>
      </c>
      <c r="M8" s="453">
        <v>0</v>
      </c>
      <c r="N8" s="453">
        <v>0</v>
      </c>
      <c r="O8" s="453">
        <v>0</v>
      </c>
      <c r="P8" s="453">
        <v>0</v>
      </c>
      <c r="Q8" s="453">
        <v>0</v>
      </c>
      <c r="R8" s="453">
        <v>3</v>
      </c>
      <c r="S8" s="163" t="s">
        <v>360</v>
      </c>
      <c r="T8" s="149" t="s">
        <v>289</v>
      </c>
      <c r="U8" s="150" t="s">
        <v>50</v>
      </c>
      <c r="V8" s="164" t="s">
        <v>444</v>
      </c>
      <c r="W8" s="151" t="s">
        <v>286</v>
      </c>
      <c r="X8" s="624">
        <v>1</v>
      </c>
      <c r="Y8" s="624">
        <v>0</v>
      </c>
      <c r="Z8" s="624">
        <v>0</v>
      </c>
      <c r="AA8" s="624">
        <v>1</v>
      </c>
      <c r="AB8" s="624">
        <v>0</v>
      </c>
      <c r="AC8" s="624">
        <v>0</v>
      </c>
      <c r="AD8" s="624">
        <v>0</v>
      </c>
      <c r="AE8" s="624">
        <v>0</v>
      </c>
      <c r="AF8" s="624">
        <v>1</v>
      </c>
      <c r="AG8" s="624">
        <v>0</v>
      </c>
      <c r="AH8" s="624">
        <v>0</v>
      </c>
      <c r="AI8" s="624">
        <v>1</v>
      </c>
      <c r="AJ8" s="624">
        <v>0</v>
      </c>
      <c r="AK8" s="624">
        <v>0</v>
      </c>
      <c r="AL8" s="624">
        <v>0</v>
      </c>
      <c r="AM8" s="624">
        <v>0</v>
      </c>
      <c r="AO8" s="373" t="s">
        <v>194</v>
      </c>
      <c r="AP8" s="437">
        <f>salePWRhistptsaga</f>
        <v>3285</v>
      </c>
    </row>
    <row r="9" spans="1:42" ht="14.95" customHeight="1" thickBot="1" x14ac:dyDescent="0.3">
      <c r="A9" s="154" t="s">
        <v>241</v>
      </c>
      <c r="B9" s="155" t="s">
        <v>73</v>
      </c>
      <c r="C9" s="152" t="s">
        <v>100</v>
      </c>
      <c r="D9" s="153" t="s">
        <v>153</v>
      </c>
      <c r="E9" s="153" t="s">
        <v>10</v>
      </c>
      <c r="F9" s="153">
        <v>22</v>
      </c>
      <c r="G9" s="153">
        <v>64</v>
      </c>
      <c r="H9" s="454">
        <v>1</v>
      </c>
      <c r="I9" s="454">
        <v>0</v>
      </c>
      <c r="J9" s="454">
        <v>4</v>
      </c>
      <c r="K9" s="454">
        <v>1</v>
      </c>
      <c r="L9" s="454">
        <v>0</v>
      </c>
      <c r="M9" s="454">
        <v>0</v>
      </c>
      <c r="N9" s="454">
        <v>1</v>
      </c>
      <c r="O9" s="454">
        <v>0</v>
      </c>
      <c r="P9" s="454">
        <v>1</v>
      </c>
      <c r="Q9" s="454">
        <v>0</v>
      </c>
      <c r="R9" s="454">
        <v>10</v>
      </c>
      <c r="S9" s="357" t="s">
        <v>385</v>
      </c>
      <c r="T9" s="338" t="s">
        <v>378</v>
      </c>
      <c r="U9" s="339" t="s">
        <v>50</v>
      </c>
      <c r="V9" s="340" t="s">
        <v>325</v>
      </c>
      <c r="W9" s="158" t="s">
        <v>295</v>
      </c>
      <c r="X9" s="158">
        <v>1</v>
      </c>
      <c r="Y9" s="158">
        <v>0</v>
      </c>
      <c r="Z9" s="158">
        <v>0</v>
      </c>
      <c r="AA9" s="159">
        <v>1</v>
      </c>
      <c r="AB9" s="158">
        <v>1</v>
      </c>
      <c r="AC9" s="158">
        <v>0</v>
      </c>
      <c r="AD9" s="158">
        <v>0</v>
      </c>
      <c r="AE9" s="159">
        <v>1</v>
      </c>
      <c r="AF9" s="158">
        <v>0</v>
      </c>
      <c r="AG9" s="158">
        <v>0</v>
      </c>
      <c r="AH9" s="158">
        <v>0</v>
      </c>
      <c r="AI9" s="160">
        <v>0</v>
      </c>
      <c r="AJ9" s="158">
        <v>0</v>
      </c>
      <c r="AK9" s="158">
        <v>0</v>
      </c>
      <c r="AL9" s="158">
        <v>0</v>
      </c>
      <c r="AM9" s="158">
        <v>0</v>
      </c>
    </row>
    <row r="10" spans="1:42" ht="14.95" customHeight="1" thickBot="1" x14ac:dyDescent="0.3">
      <c r="A10" s="334" t="s">
        <v>242</v>
      </c>
      <c r="B10" s="162" t="s">
        <v>73</v>
      </c>
      <c r="C10" s="335" t="s">
        <v>63</v>
      </c>
      <c r="D10" s="336" t="s">
        <v>12</v>
      </c>
      <c r="E10" s="336" t="s">
        <v>10</v>
      </c>
      <c r="F10" s="336">
        <v>24</v>
      </c>
      <c r="G10" s="336">
        <v>40</v>
      </c>
      <c r="H10" s="455">
        <v>1</v>
      </c>
      <c r="I10" s="455">
        <v>0</v>
      </c>
      <c r="J10" s="455">
        <v>4</v>
      </c>
      <c r="K10" s="455">
        <v>2</v>
      </c>
      <c r="L10" s="455">
        <v>0</v>
      </c>
      <c r="M10" s="455">
        <v>0</v>
      </c>
      <c r="N10" s="455">
        <v>0</v>
      </c>
      <c r="O10" s="455">
        <v>0</v>
      </c>
      <c r="P10" s="455">
        <v>1</v>
      </c>
      <c r="Q10" s="455">
        <v>0</v>
      </c>
      <c r="R10" s="455">
        <v>6</v>
      </c>
      <c r="S10" s="171" t="s">
        <v>396</v>
      </c>
      <c r="T10" s="172" t="s">
        <v>448</v>
      </c>
      <c r="U10" s="164" t="s">
        <v>50</v>
      </c>
      <c r="V10" s="164" t="s">
        <v>449</v>
      </c>
      <c r="W10" s="164" t="s">
        <v>450</v>
      </c>
      <c r="X10" s="164">
        <v>1</v>
      </c>
      <c r="Y10" s="164">
        <v>0</v>
      </c>
      <c r="Z10" s="164">
        <v>0</v>
      </c>
      <c r="AA10" s="164">
        <v>1</v>
      </c>
      <c r="AB10" s="164">
        <v>0</v>
      </c>
      <c r="AC10" s="164">
        <v>0</v>
      </c>
      <c r="AD10" s="164">
        <v>0</v>
      </c>
      <c r="AE10" s="164">
        <v>0</v>
      </c>
      <c r="AF10" s="164">
        <v>1</v>
      </c>
      <c r="AG10" s="164">
        <v>0</v>
      </c>
      <c r="AH10" s="164">
        <v>0</v>
      </c>
      <c r="AI10" s="172">
        <v>1</v>
      </c>
      <c r="AJ10" s="164">
        <v>0</v>
      </c>
      <c r="AK10" s="164">
        <v>0</v>
      </c>
      <c r="AL10" s="164">
        <v>0</v>
      </c>
      <c r="AM10" s="164">
        <v>0</v>
      </c>
    </row>
    <row r="11" spans="1:42" ht="14.95" customHeight="1" thickBot="1" x14ac:dyDescent="0.3">
      <c r="A11" s="154" t="s">
        <v>243</v>
      </c>
      <c r="B11" s="155" t="s">
        <v>73</v>
      </c>
      <c r="C11" s="152" t="s">
        <v>4</v>
      </c>
      <c r="D11" s="153" t="s">
        <v>153</v>
      </c>
      <c r="E11" s="153" t="s">
        <v>9</v>
      </c>
      <c r="F11" s="153">
        <v>26</v>
      </c>
      <c r="G11" s="153">
        <v>26</v>
      </c>
      <c r="H11" s="454">
        <v>1</v>
      </c>
      <c r="I11" s="454">
        <v>0</v>
      </c>
      <c r="J11" s="454">
        <v>4</v>
      </c>
      <c r="K11" s="454">
        <v>3</v>
      </c>
      <c r="L11" s="454">
        <v>0</v>
      </c>
      <c r="M11" s="454">
        <v>0</v>
      </c>
      <c r="N11" s="454">
        <v>1</v>
      </c>
      <c r="O11" s="454">
        <v>0</v>
      </c>
      <c r="P11" s="454">
        <v>1</v>
      </c>
      <c r="Q11" s="454">
        <v>0</v>
      </c>
      <c r="R11" s="454">
        <v>4</v>
      </c>
      <c r="S11" s="175" t="s">
        <v>473</v>
      </c>
      <c r="T11" s="157" t="s">
        <v>468</v>
      </c>
      <c r="U11" s="158" t="s">
        <v>50</v>
      </c>
      <c r="V11" s="158" t="s">
        <v>449</v>
      </c>
      <c r="W11" s="160" t="s">
        <v>295</v>
      </c>
      <c r="X11" s="158">
        <v>1</v>
      </c>
      <c r="Y11" s="158">
        <v>0</v>
      </c>
      <c r="Z11" s="158">
        <v>1</v>
      </c>
      <c r="AA11" s="158">
        <v>0</v>
      </c>
      <c r="AB11" s="158">
        <v>1</v>
      </c>
      <c r="AC11" s="158">
        <v>0</v>
      </c>
      <c r="AD11" s="158">
        <v>1</v>
      </c>
      <c r="AE11" s="158">
        <v>0</v>
      </c>
      <c r="AF11" s="158">
        <v>0</v>
      </c>
      <c r="AG11" s="158">
        <v>0</v>
      </c>
      <c r="AH11" s="158">
        <v>0</v>
      </c>
      <c r="AI11" s="157">
        <v>0</v>
      </c>
      <c r="AJ11" s="158">
        <v>0</v>
      </c>
      <c r="AK11" s="158">
        <v>0</v>
      </c>
      <c r="AL11" s="158">
        <v>0</v>
      </c>
      <c r="AM11" s="158">
        <v>0</v>
      </c>
    </row>
    <row r="12" spans="1:42" ht="14.95" customHeight="1" thickBot="1" x14ac:dyDescent="0.3">
      <c r="A12" s="161" t="s">
        <v>244</v>
      </c>
      <c r="B12" s="162" t="s">
        <v>73</v>
      </c>
      <c r="C12" s="147" t="s">
        <v>0</v>
      </c>
      <c r="D12" s="148" t="s">
        <v>12</v>
      </c>
      <c r="E12" s="148" t="s">
        <v>10</v>
      </c>
      <c r="F12" s="148">
        <v>17</v>
      </c>
      <c r="G12" s="148">
        <v>22</v>
      </c>
      <c r="H12" s="453">
        <v>0</v>
      </c>
      <c r="I12" s="453">
        <v>1</v>
      </c>
      <c r="J12" s="453">
        <v>2</v>
      </c>
      <c r="K12" s="453">
        <v>2</v>
      </c>
      <c r="L12" s="453">
        <v>0</v>
      </c>
      <c r="M12" s="453">
        <v>1</v>
      </c>
      <c r="N12" s="453">
        <v>0</v>
      </c>
      <c r="O12" s="453">
        <v>0</v>
      </c>
      <c r="P12" s="453">
        <v>1</v>
      </c>
      <c r="Q12" s="453">
        <v>0</v>
      </c>
      <c r="R12" s="453">
        <v>4</v>
      </c>
      <c r="S12" s="366" t="s">
        <v>534</v>
      </c>
      <c r="T12" s="172" t="s">
        <v>289</v>
      </c>
      <c r="U12" s="164" t="s">
        <v>50</v>
      </c>
      <c r="V12" s="164" t="s">
        <v>524</v>
      </c>
      <c r="W12" s="166" t="s">
        <v>323</v>
      </c>
      <c r="X12" s="164">
        <v>1</v>
      </c>
      <c r="Y12" s="164">
        <v>0</v>
      </c>
      <c r="Z12" s="164">
        <v>0</v>
      </c>
      <c r="AA12" s="164">
        <v>1</v>
      </c>
      <c r="AB12" s="164">
        <v>0</v>
      </c>
      <c r="AC12" s="164">
        <v>0</v>
      </c>
      <c r="AD12" s="164">
        <v>0</v>
      </c>
      <c r="AE12" s="164">
        <v>0</v>
      </c>
      <c r="AF12" s="164">
        <v>1</v>
      </c>
      <c r="AG12" s="164">
        <v>0</v>
      </c>
      <c r="AH12" s="164">
        <v>0</v>
      </c>
      <c r="AI12" s="172">
        <v>1</v>
      </c>
      <c r="AJ12" s="164">
        <v>0</v>
      </c>
      <c r="AK12" s="164">
        <v>0</v>
      </c>
      <c r="AL12" s="164">
        <v>0</v>
      </c>
      <c r="AM12" s="164">
        <v>0</v>
      </c>
    </row>
    <row r="13" spans="1:42" ht="14.95" customHeight="1" thickBot="1" x14ac:dyDescent="0.3">
      <c r="A13" s="154" t="s">
        <v>162</v>
      </c>
      <c r="B13" s="155" t="s">
        <v>73</v>
      </c>
      <c r="C13" s="152" t="s">
        <v>1</v>
      </c>
      <c r="D13" s="153" t="s">
        <v>153</v>
      </c>
      <c r="E13" s="153" t="s">
        <v>10</v>
      </c>
      <c r="F13" s="153">
        <v>17</v>
      </c>
      <c r="G13" s="153">
        <v>36</v>
      </c>
      <c r="H13" s="454">
        <v>0</v>
      </c>
      <c r="I13" s="454">
        <v>0</v>
      </c>
      <c r="J13" s="454">
        <v>3</v>
      </c>
      <c r="K13" s="454">
        <v>1</v>
      </c>
      <c r="L13" s="454">
        <v>0</v>
      </c>
      <c r="M13" s="454">
        <v>0</v>
      </c>
      <c r="N13" s="454">
        <v>0</v>
      </c>
      <c r="O13" s="454">
        <v>0</v>
      </c>
      <c r="P13" s="454">
        <v>1</v>
      </c>
      <c r="Q13" s="454">
        <v>0</v>
      </c>
      <c r="R13" s="454">
        <v>5</v>
      </c>
      <c r="S13" s="341" t="s">
        <v>548</v>
      </c>
      <c r="T13" s="342" t="s">
        <v>324</v>
      </c>
      <c r="U13" s="343" t="s">
        <v>50</v>
      </c>
      <c r="V13" s="158" t="s">
        <v>383</v>
      </c>
      <c r="W13" s="160" t="s">
        <v>295</v>
      </c>
      <c r="X13" s="158">
        <v>1</v>
      </c>
      <c r="Y13" s="158">
        <v>0</v>
      </c>
      <c r="Z13" s="158">
        <v>0</v>
      </c>
      <c r="AA13" s="158">
        <v>1</v>
      </c>
      <c r="AB13" s="158">
        <v>1</v>
      </c>
      <c r="AC13" s="158">
        <v>0</v>
      </c>
      <c r="AD13" s="158">
        <v>0</v>
      </c>
      <c r="AE13" s="158">
        <v>1</v>
      </c>
      <c r="AF13" s="158">
        <v>0</v>
      </c>
      <c r="AG13" s="158">
        <v>0</v>
      </c>
      <c r="AH13" s="158">
        <v>0</v>
      </c>
      <c r="AI13" s="157">
        <v>0</v>
      </c>
      <c r="AJ13" s="158">
        <v>0</v>
      </c>
      <c r="AK13" s="158">
        <v>0</v>
      </c>
      <c r="AL13" s="158">
        <v>0</v>
      </c>
      <c r="AM13" s="158">
        <v>0</v>
      </c>
    </row>
    <row r="14" spans="1:42" ht="14.95" customHeight="1" thickBot="1" x14ac:dyDescent="0.35">
      <c r="A14" s="161" t="s">
        <v>508</v>
      </c>
      <c r="B14" s="162" t="s">
        <v>73</v>
      </c>
      <c r="C14" s="147" t="s">
        <v>49</v>
      </c>
      <c r="D14" s="148" t="s">
        <v>12</v>
      </c>
      <c r="E14" s="148" t="s">
        <v>10</v>
      </c>
      <c r="F14" s="148">
        <v>29</v>
      </c>
      <c r="G14" s="148">
        <v>30</v>
      </c>
      <c r="H14" s="453">
        <v>1</v>
      </c>
      <c r="I14" s="453">
        <v>1</v>
      </c>
      <c r="J14" s="453">
        <v>5</v>
      </c>
      <c r="K14" s="453">
        <v>2</v>
      </c>
      <c r="L14" s="453">
        <v>0</v>
      </c>
      <c r="M14" s="453">
        <v>0</v>
      </c>
      <c r="N14" s="453">
        <v>2</v>
      </c>
      <c r="O14" s="453">
        <v>0</v>
      </c>
      <c r="P14" s="453">
        <v>1</v>
      </c>
      <c r="Q14" s="453">
        <v>0</v>
      </c>
      <c r="R14" s="453">
        <v>5</v>
      </c>
      <c r="S14" s="179" t="s">
        <v>567</v>
      </c>
      <c r="T14" s="172" t="s">
        <v>294</v>
      </c>
      <c r="U14" s="164" t="s">
        <v>50</v>
      </c>
      <c r="V14" s="164" t="s">
        <v>286</v>
      </c>
      <c r="W14" s="166" t="s">
        <v>380</v>
      </c>
      <c r="X14" s="164">
        <v>1</v>
      </c>
      <c r="Y14" s="164">
        <v>0</v>
      </c>
      <c r="Z14" s="164">
        <v>0</v>
      </c>
      <c r="AA14" s="164">
        <v>1</v>
      </c>
      <c r="AB14" s="164">
        <v>0</v>
      </c>
      <c r="AC14" s="164">
        <v>0</v>
      </c>
      <c r="AD14" s="164">
        <v>0</v>
      </c>
      <c r="AE14" s="164">
        <v>0</v>
      </c>
      <c r="AF14" s="164">
        <v>1</v>
      </c>
      <c r="AG14" s="164">
        <v>0</v>
      </c>
      <c r="AH14" s="164">
        <v>0</v>
      </c>
      <c r="AI14" s="172">
        <v>1</v>
      </c>
      <c r="AJ14" s="164">
        <v>0</v>
      </c>
      <c r="AK14" s="164">
        <v>0</v>
      </c>
      <c r="AL14" s="164">
        <v>0</v>
      </c>
      <c r="AM14" s="164">
        <v>0</v>
      </c>
    </row>
    <row r="15" spans="1:42" ht="14.95" customHeight="1" thickBot="1" x14ac:dyDescent="0.3">
      <c r="A15" s="154" t="s">
        <v>509</v>
      </c>
      <c r="B15" s="155" t="s">
        <v>73</v>
      </c>
      <c r="C15" s="152" t="s">
        <v>63</v>
      </c>
      <c r="D15" s="153" t="s">
        <v>153</v>
      </c>
      <c r="E15" s="153" t="s">
        <v>10</v>
      </c>
      <c r="F15" s="153">
        <v>7</v>
      </c>
      <c r="G15" s="153">
        <v>22</v>
      </c>
      <c r="H15" s="454">
        <v>0</v>
      </c>
      <c r="I15" s="454">
        <v>0</v>
      </c>
      <c r="J15" s="454">
        <v>1</v>
      </c>
      <c r="K15" s="454">
        <v>1</v>
      </c>
      <c r="L15" s="454">
        <v>0</v>
      </c>
      <c r="M15" s="454">
        <v>0</v>
      </c>
      <c r="N15" s="454">
        <v>0</v>
      </c>
      <c r="O15" s="454">
        <v>0</v>
      </c>
      <c r="P15" s="454">
        <v>1</v>
      </c>
      <c r="Q15" s="454">
        <v>0</v>
      </c>
      <c r="R15" s="454">
        <v>4</v>
      </c>
      <c r="S15" s="175" t="s">
        <v>579</v>
      </c>
      <c r="T15" s="157" t="s">
        <v>574</v>
      </c>
      <c r="U15" s="158" t="s">
        <v>50</v>
      </c>
      <c r="V15" s="158" t="s">
        <v>327</v>
      </c>
      <c r="W15" s="160" t="s">
        <v>295</v>
      </c>
      <c r="X15" s="158">
        <v>1</v>
      </c>
      <c r="Y15" s="158">
        <v>0</v>
      </c>
      <c r="Z15" s="158">
        <v>0</v>
      </c>
      <c r="AA15" s="158">
        <v>1</v>
      </c>
      <c r="AB15" s="158">
        <v>1</v>
      </c>
      <c r="AC15" s="158">
        <v>0</v>
      </c>
      <c r="AD15" s="158">
        <v>0</v>
      </c>
      <c r="AE15" s="158">
        <v>1</v>
      </c>
      <c r="AF15" s="158">
        <v>0</v>
      </c>
      <c r="AG15" s="158">
        <v>0</v>
      </c>
      <c r="AH15" s="158">
        <v>0</v>
      </c>
      <c r="AI15" s="157">
        <v>0</v>
      </c>
      <c r="AJ15" s="158">
        <v>0</v>
      </c>
      <c r="AK15" s="158">
        <v>0</v>
      </c>
      <c r="AL15" s="158">
        <v>0</v>
      </c>
      <c r="AM15" s="158">
        <v>0</v>
      </c>
    </row>
    <row r="16" spans="1:42" ht="14.95" customHeight="1" thickBot="1" x14ac:dyDescent="0.3">
      <c r="A16" s="161" t="s">
        <v>511</v>
      </c>
      <c r="B16" s="162" t="s">
        <v>73</v>
      </c>
      <c r="C16" s="147" t="s">
        <v>100</v>
      </c>
      <c r="D16" s="148" t="s">
        <v>12</v>
      </c>
      <c r="E16" s="148" t="s">
        <v>8</v>
      </c>
      <c r="F16" s="148">
        <v>36</v>
      </c>
      <c r="G16" s="148">
        <v>31</v>
      </c>
      <c r="H16" s="453">
        <v>1</v>
      </c>
      <c r="I16" s="453">
        <v>0</v>
      </c>
      <c r="J16" s="453">
        <v>5</v>
      </c>
      <c r="K16" s="453">
        <v>4</v>
      </c>
      <c r="L16" s="453">
        <v>0</v>
      </c>
      <c r="M16" s="453">
        <v>1</v>
      </c>
      <c r="N16" s="453">
        <v>2</v>
      </c>
      <c r="O16" s="453">
        <v>0</v>
      </c>
      <c r="P16" s="453">
        <v>1</v>
      </c>
      <c r="Q16" s="453">
        <v>1</v>
      </c>
      <c r="R16" s="453">
        <v>5</v>
      </c>
      <c r="S16" s="337" t="s">
        <v>392</v>
      </c>
      <c r="T16" s="172" t="s">
        <v>291</v>
      </c>
      <c r="U16" s="164" t="s">
        <v>50</v>
      </c>
      <c r="V16" s="164" t="s">
        <v>384</v>
      </c>
      <c r="W16" s="166" t="s">
        <v>595</v>
      </c>
      <c r="X16" s="164">
        <v>1</v>
      </c>
      <c r="Y16" s="164">
        <v>1</v>
      </c>
      <c r="Z16" s="164">
        <v>0</v>
      </c>
      <c r="AA16" s="164">
        <v>0</v>
      </c>
      <c r="AB16" s="164">
        <v>0</v>
      </c>
      <c r="AC16" s="164">
        <v>0</v>
      </c>
      <c r="AD16" s="164">
        <v>0</v>
      </c>
      <c r="AE16" s="164">
        <v>0</v>
      </c>
      <c r="AF16" s="164">
        <v>1</v>
      </c>
      <c r="AG16" s="164">
        <v>1</v>
      </c>
      <c r="AH16" s="164">
        <v>0</v>
      </c>
      <c r="AI16" s="172">
        <v>0</v>
      </c>
      <c r="AJ16" s="164">
        <v>0</v>
      </c>
      <c r="AK16" s="164">
        <v>0</v>
      </c>
      <c r="AL16" s="164">
        <v>0</v>
      </c>
      <c r="AM16" s="164">
        <v>0</v>
      </c>
    </row>
    <row r="17" spans="1:39" ht="14.95" customHeight="1" thickBot="1" x14ac:dyDescent="0.35">
      <c r="A17" s="154" t="s">
        <v>513</v>
      </c>
      <c r="B17" s="155" t="s">
        <v>73</v>
      </c>
      <c r="C17" s="152" t="s">
        <v>0</v>
      </c>
      <c r="D17" s="153" t="s">
        <v>153</v>
      </c>
      <c r="E17" s="153" t="s">
        <v>8</v>
      </c>
      <c r="F17" s="153">
        <v>15</v>
      </c>
      <c r="G17" s="153">
        <v>12</v>
      </c>
      <c r="H17" s="454">
        <v>0</v>
      </c>
      <c r="I17" s="454">
        <v>0</v>
      </c>
      <c r="J17" s="454">
        <v>2</v>
      </c>
      <c r="K17" s="454">
        <v>1</v>
      </c>
      <c r="L17" s="454">
        <v>0</v>
      </c>
      <c r="M17" s="454">
        <v>1</v>
      </c>
      <c r="N17" s="454">
        <v>0</v>
      </c>
      <c r="O17" s="454">
        <v>0</v>
      </c>
      <c r="P17" s="454">
        <v>0</v>
      </c>
      <c r="Q17" s="454">
        <v>1</v>
      </c>
      <c r="R17" s="454">
        <v>2</v>
      </c>
      <c r="S17" s="156" t="s">
        <v>612</v>
      </c>
      <c r="T17" s="157" t="s">
        <v>328</v>
      </c>
      <c r="U17" s="158" t="s">
        <v>50</v>
      </c>
      <c r="V17" s="158" t="s">
        <v>610</v>
      </c>
      <c r="W17" s="160" t="s">
        <v>611</v>
      </c>
      <c r="X17" s="158">
        <v>1</v>
      </c>
      <c r="Y17" s="158">
        <v>1</v>
      </c>
      <c r="Z17" s="158">
        <v>0</v>
      </c>
      <c r="AA17" s="158">
        <v>0</v>
      </c>
      <c r="AB17" s="158">
        <v>1</v>
      </c>
      <c r="AC17" s="158">
        <v>1</v>
      </c>
      <c r="AD17" s="158">
        <v>0</v>
      </c>
      <c r="AE17" s="158">
        <v>0</v>
      </c>
      <c r="AF17" s="158">
        <v>0</v>
      </c>
      <c r="AG17" s="158">
        <v>0</v>
      </c>
      <c r="AH17" s="158">
        <v>0</v>
      </c>
      <c r="AI17" s="157">
        <v>0</v>
      </c>
      <c r="AJ17" s="158">
        <v>0</v>
      </c>
      <c r="AK17" s="158">
        <v>0</v>
      </c>
      <c r="AL17" s="158">
        <v>0</v>
      </c>
      <c r="AM17" s="158">
        <v>0</v>
      </c>
    </row>
    <row r="18" spans="1:39" ht="14.95" customHeight="1" thickBot="1" x14ac:dyDescent="0.3">
      <c r="A18" s="154" t="s">
        <v>516</v>
      </c>
      <c r="B18" s="155" t="s">
        <v>73</v>
      </c>
      <c r="C18" s="152" t="s">
        <v>540</v>
      </c>
      <c r="D18" s="153" t="s">
        <v>153</v>
      </c>
      <c r="E18" s="153" t="s">
        <v>8</v>
      </c>
      <c r="F18" s="153">
        <v>31</v>
      </c>
      <c r="G18" s="153">
        <v>29</v>
      </c>
      <c r="H18" s="454">
        <v>1</v>
      </c>
      <c r="I18" s="454">
        <v>0</v>
      </c>
      <c r="J18" s="454">
        <v>5</v>
      </c>
      <c r="K18" s="454">
        <v>3</v>
      </c>
      <c r="L18" s="454">
        <v>0</v>
      </c>
      <c r="M18" s="454">
        <v>0</v>
      </c>
      <c r="N18" s="454">
        <v>0</v>
      </c>
      <c r="O18" s="454">
        <v>0</v>
      </c>
      <c r="P18" s="454">
        <v>1</v>
      </c>
      <c r="Q18" s="454">
        <v>1</v>
      </c>
      <c r="R18" s="454">
        <v>4</v>
      </c>
      <c r="S18" s="170" t="s">
        <v>635</v>
      </c>
      <c r="T18" s="157" t="s">
        <v>289</v>
      </c>
      <c r="U18" s="158" t="s">
        <v>50</v>
      </c>
      <c r="V18" s="158" t="s">
        <v>324</v>
      </c>
      <c r="W18" s="160" t="s">
        <v>611</v>
      </c>
      <c r="X18" s="158">
        <v>1</v>
      </c>
      <c r="Y18" s="158">
        <v>1</v>
      </c>
      <c r="Z18" s="158">
        <v>0</v>
      </c>
      <c r="AA18" s="158">
        <v>0</v>
      </c>
      <c r="AB18" s="158">
        <v>1</v>
      </c>
      <c r="AC18" s="158">
        <v>1</v>
      </c>
      <c r="AD18" s="158">
        <v>0</v>
      </c>
      <c r="AE18" s="158">
        <v>0</v>
      </c>
      <c r="AF18" s="158">
        <v>0</v>
      </c>
      <c r="AG18" s="158">
        <v>0</v>
      </c>
      <c r="AH18" s="158">
        <v>0</v>
      </c>
      <c r="AI18" s="157">
        <v>0</v>
      </c>
      <c r="AJ18" s="158">
        <v>0</v>
      </c>
      <c r="AK18" s="158">
        <v>0</v>
      </c>
      <c r="AL18" s="158">
        <v>0</v>
      </c>
      <c r="AM18" s="158">
        <v>0</v>
      </c>
    </row>
    <row r="19" spans="1:39" ht="14.95" customHeight="1" thickBot="1" x14ac:dyDescent="0.35">
      <c r="A19" s="161" t="s">
        <v>518</v>
      </c>
      <c r="B19" s="162" t="s">
        <v>73</v>
      </c>
      <c r="C19" s="147" t="s">
        <v>70</v>
      </c>
      <c r="D19" s="148" t="s">
        <v>12</v>
      </c>
      <c r="E19" s="148" t="s">
        <v>8</v>
      </c>
      <c r="F19" s="148">
        <v>62</v>
      </c>
      <c r="G19" s="148">
        <v>3</v>
      </c>
      <c r="H19" s="453">
        <v>1</v>
      </c>
      <c r="I19" s="453">
        <v>0</v>
      </c>
      <c r="J19" s="453">
        <v>10</v>
      </c>
      <c r="K19" s="453">
        <v>6</v>
      </c>
      <c r="L19" s="453">
        <v>0</v>
      </c>
      <c r="M19" s="453">
        <v>0</v>
      </c>
      <c r="N19" s="453">
        <v>0</v>
      </c>
      <c r="O19" s="453">
        <v>0</v>
      </c>
      <c r="P19" s="453">
        <v>0</v>
      </c>
      <c r="Q19" s="453">
        <v>0</v>
      </c>
      <c r="R19" s="453">
        <v>0</v>
      </c>
      <c r="S19" s="176" t="s">
        <v>650</v>
      </c>
      <c r="T19" s="172" t="s">
        <v>291</v>
      </c>
      <c r="U19" s="164" t="s">
        <v>50</v>
      </c>
      <c r="V19" s="164" t="s">
        <v>611</v>
      </c>
      <c r="W19" s="166" t="s">
        <v>384</v>
      </c>
      <c r="X19" s="164">
        <v>1</v>
      </c>
      <c r="Y19" s="164">
        <v>1</v>
      </c>
      <c r="Z19" s="164">
        <v>0</v>
      </c>
      <c r="AA19" s="164">
        <v>0</v>
      </c>
      <c r="AB19" s="164">
        <v>0</v>
      </c>
      <c r="AC19" s="164">
        <v>0</v>
      </c>
      <c r="AD19" s="164">
        <v>0</v>
      </c>
      <c r="AE19" s="164">
        <v>0</v>
      </c>
      <c r="AF19" s="164">
        <v>1</v>
      </c>
      <c r="AG19" s="164">
        <v>1</v>
      </c>
      <c r="AH19" s="164">
        <v>0</v>
      </c>
      <c r="AI19" s="172">
        <v>0</v>
      </c>
      <c r="AJ19" s="164">
        <v>0</v>
      </c>
      <c r="AK19" s="164">
        <v>0</v>
      </c>
      <c r="AL19" s="164">
        <v>0</v>
      </c>
      <c r="AM19" s="164">
        <v>0</v>
      </c>
    </row>
    <row r="20" spans="1:39" ht="14.95" customHeight="1" thickBot="1" x14ac:dyDescent="0.35">
      <c r="A20" s="177" t="s">
        <v>127</v>
      </c>
      <c r="B20" s="155" t="s">
        <v>73</v>
      </c>
      <c r="C20" s="152" t="s">
        <v>49</v>
      </c>
      <c r="D20" s="153" t="s">
        <v>153</v>
      </c>
      <c r="E20" s="153" t="s">
        <v>8</v>
      </c>
      <c r="F20" s="153">
        <v>25</v>
      </c>
      <c r="G20" s="153">
        <v>7</v>
      </c>
      <c r="H20" s="454">
        <v>0</v>
      </c>
      <c r="I20" s="454">
        <v>0</v>
      </c>
      <c r="J20" s="454">
        <v>3</v>
      </c>
      <c r="K20" s="454">
        <v>2</v>
      </c>
      <c r="L20" s="454">
        <v>0</v>
      </c>
      <c r="M20" s="454">
        <v>2</v>
      </c>
      <c r="N20" s="454">
        <v>0</v>
      </c>
      <c r="O20" s="454">
        <v>0</v>
      </c>
      <c r="P20" s="454">
        <v>0</v>
      </c>
      <c r="Q20" s="454">
        <v>0</v>
      </c>
      <c r="R20" s="454">
        <v>1</v>
      </c>
      <c r="S20" s="156" t="s">
        <v>674</v>
      </c>
      <c r="T20" s="157" t="s">
        <v>294</v>
      </c>
      <c r="U20" s="158" t="s">
        <v>50</v>
      </c>
      <c r="V20" s="158" t="s">
        <v>656</v>
      </c>
      <c r="W20" s="160" t="s">
        <v>657</v>
      </c>
      <c r="X20" s="158">
        <v>1</v>
      </c>
      <c r="Y20" s="158">
        <v>1</v>
      </c>
      <c r="Z20" s="158">
        <v>0</v>
      </c>
      <c r="AA20" s="158">
        <v>0</v>
      </c>
      <c r="AB20" s="158">
        <v>1</v>
      </c>
      <c r="AC20" s="158">
        <v>1</v>
      </c>
      <c r="AD20" s="158">
        <v>0</v>
      </c>
      <c r="AE20" s="158">
        <v>0</v>
      </c>
      <c r="AF20" s="158">
        <v>0</v>
      </c>
      <c r="AG20" s="158">
        <v>0</v>
      </c>
      <c r="AH20" s="158">
        <v>0</v>
      </c>
      <c r="AI20" s="157">
        <v>0</v>
      </c>
      <c r="AJ20" s="158">
        <v>0</v>
      </c>
      <c r="AK20" s="158">
        <v>0</v>
      </c>
      <c r="AL20" s="158">
        <v>0</v>
      </c>
      <c r="AM20" s="158">
        <v>0</v>
      </c>
    </row>
    <row r="21" spans="1:39" ht="14.95" customHeight="1" thickBot="1" x14ac:dyDescent="0.35">
      <c r="A21" s="178" t="s">
        <v>246</v>
      </c>
      <c r="B21" s="162" t="s">
        <v>73</v>
      </c>
      <c r="C21" s="147" t="s">
        <v>1</v>
      </c>
      <c r="D21" s="148" t="s">
        <v>155</v>
      </c>
      <c r="E21" s="148"/>
      <c r="F21" s="148"/>
      <c r="G21" s="148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176"/>
      <c r="T21" s="172"/>
      <c r="U21" s="164"/>
      <c r="V21" s="164"/>
      <c r="W21" s="166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72"/>
      <c r="AJ21" s="164"/>
      <c r="AK21" s="164"/>
      <c r="AL21" s="164"/>
      <c r="AM21" s="164"/>
    </row>
    <row r="22" spans="1:39" ht="14.95" customHeight="1" thickBot="1" x14ac:dyDescent="0.3">
      <c r="A22" s="178" t="s">
        <v>248</v>
      </c>
      <c r="B22" s="162" t="s">
        <v>73</v>
      </c>
      <c r="C22" s="147" t="s">
        <v>4</v>
      </c>
      <c r="D22" s="148" t="s">
        <v>12</v>
      </c>
      <c r="E22" s="148"/>
      <c r="F22" s="148"/>
      <c r="G22" s="148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171"/>
      <c r="T22" s="172"/>
      <c r="U22" s="164"/>
      <c r="V22" s="164"/>
      <c r="W22" s="166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72"/>
      <c r="AJ22" s="164"/>
      <c r="AK22" s="164"/>
      <c r="AL22" s="164"/>
      <c r="AM22" s="164"/>
    </row>
    <row r="23" spans="1:39" ht="14.95" customHeight="1" thickBot="1" x14ac:dyDescent="0.35">
      <c r="A23" s="502" t="s">
        <v>249</v>
      </c>
      <c r="B23" s="503" t="s">
        <v>128</v>
      </c>
      <c r="C23" s="504"/>
      <c r="D23" s="505"/>
      <c r="E23" s="505"/>
      <c r="F23" s="505"/>
      <c r="G23" s="505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07"/>
      <c r="T23" s="508"/>
      <c r="U23" s="509"/>
      <c r="V23" s="509"/>
      <c r="W23" s="510"/>
      <c r="X23" s="509"/>
      <c r="Y23" s="509"/>
      <c r="Z23" s="509"/>
      <c r="AA23" s="509"/>
      <c r="AB23" s="509"/>
      <c r="AC23" s="509"/>
      <c r="AD23" s="509"/>
      <c r="AE23" s="509"/>
      <c r="AF23" s="509"/>
      <c r="AG23" s="509"/>
      <c r="AH23" s="509"/>
      <c r="AI23" s="508"/>
      <c r="AJ23" s="509"/>
      <c r="AK23" s="509"/>
      <c r="AL23" s="509"/>
      <c r="AM23" s="508"/>
    </row>
    <row r="24" spans="1:39" ht="14.95" customHeight="1" thickBot="1" x14ac:dyDescent="0.3">
      <c r="A24" s="502" t="s">
        <v>250</v>
      </c>
      <c r="B24" s="503" t="s">
        <v>247</v>
      </c>
      <c r="C24" s="504"/>
      <c r="D24" s="505"/>
      <c r="E24" s="505"/>
      <c r="F24" s="505"/>
      <c r="G24" s="505"/>
      <c r="H24" s="506"/>
      <c r="I24" s="506"/>
      <c r="J24" s="506"/>
      <c r="K24" s="506"/>
      <c r="L24" s="506"/>
      <c r="M24" s="506"/>
      <c r="N24" s="506"/>
      <c r="O24" s="506"/>
      <c r="P24" s="506"/>
      <c r="Q24" s="506"/>
      <c r="R24" s="506"/>
      <c r="S24" s="511"/>
      <c r="T24" s="508"/>
      <c r="U24" s="509"/>
      <c r="V24" s="509"/>
      <c r="W24" s="510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09"/>
      <c r="AI24" s="508"/>
      <c r="AJ24" s="509"/>
      <c r="AK24" s="509"/>
      <c r="AL24" s="509"/>
      <c r="AM24" s="508"/>
    </row>
    <row r="25" spans="1:39" ht="14.95" customHeight="1" thickBot="1" x14ac:dyDescent="0.3">
      <c r="A25" s="120"/>
      <c r="B25" s="121"/>
      <c r="C25" s="741" t="s">
        <v>74</v>
      </c>
      <c r="D25" s="742"/>
      <c r="E25" s="743"/>
      <c r="F25" s="122">
        <f t="shared" ref="F25:R25" si="0">SUM(F7:F22)</f>
        <v>369</v>
      </c>
      <c r="G25" s="122">
        <f t="shared" si="0"/>
        <v>358</v>
      </c>
      <c r="H25" s="122">
        <f t="shared" si="0"/>
        <v>8</v>
      </c>
      <c r="I25" s="122">
        <f t="shared" si="0"/>
        <v>3</v>
      </c>
      <c r="J25" s="122">
        <f t="shared" si="0"/>
        <v>58</v>
      </c>
      <c r="K25" s="122">
        <f t="shared" si="0"/>
        <v>31</v>
      </c>
      <c r="L25" s="122">
        <f t="shared" si="0"/>
        <v>0</v>
      </c>
      <c r="M25" s="122">
        <f t="shared" si="0"/>
        <v>5</v>
      </c>
      <c r="N25" s="122">
        <f t="shared" si="0"/>
        <v>7</v>
      </c>
      <c r="O25" s="122">
        <f t="shared" si="0"/>
        <v>1</v>
      </c>
      <c r="P25" s="122">
        <f t="shared" si="0"/>
        <v>9</v>
      </c>
      <c r="Q25" s="122">
        <f t="shared" si="0"/>
        <v>3</v>
      </c>
      <c r="R25" s="122">
        <f t="shared" si="0"/>
        <v>56</v>
      </c>
      <c r="S25" s="123"/>
      <c r="T25" s="123"/>
      <c r="U25" s="124"/>
      <c r="V25" s="124"/>
      <c r="W25" s="125" t="s">
        <v>74</v>
      </c>
      <c r="X25" s="122">
        <f t="shared" ref="X25:AM25" si="1">SUM(X7:X22)</f>
        <v>14</v>
      </c>
      <c r="Y25" s="122">
        <f t="shared" si="1"/>
        <v>6</v>
      </c>
      <c r="Z25" s="122">
        <f t="shared" si="1"/>
        <v>1</v>
      </c>
      <c r="AA25" s="122">
        <f t="shared" si="1"/>
        <v>7</v>
      </c>
      <c r="AB25" s="126">
        <f t="shared" si="1"/>
        <v>8</v>
      </c>
      <c r="AC25" s="126">
        <f t="shared" si="1"/>
        <v>4</v>
      </c>
      <c r="AD25" s="126">
        <f t="shared" si="1"/>
        <v>1</v>
      </c>
      <c r="AE25" s="126">
        <f t="shared" si="1"/>
        <v>3</v>
      </c>
      <c r="AF25" s="127">
        <f t="shared" si="1"/>
        <v>6</v>
      </c>
      <c r="AG25" s="127">
        <f t="shared" si="1"/>
        <v>2</v>
      </c>
      <c r="AH25" s="127">
        <f t="shared" si="1"/>
        <v>0</v>
      </c>
      <c r="AI25" s="127">
        <f t="shared" si="1"/>
        <v>4</v>
      </c>
      <c r="AJ25" s="122">
        <f t="shared" si="1"/>
        <v>0</v>
      </c>
      <c r="AK25" s="122">
        <f t="shared" si="1"/>
        <v>0</v>
      </c>
      <c r="AL25" s="122">
        <f t="shared" si="1"/>
        <v>0</v>
      </c>
      <c r="AM25" s="122">
        <f t="shared" si="1"/>
        <v>0</v>
      </c>
    </row>
    <row r="26" spans="1:39" ht="14.95" customHeight="1" thickBot="1" x14ac:dyDescent="0.3">
      <c r="A26" s="128"/>
      <c r="B26" s="128"/>
      <c r="C26" s="741" t="s">
        <v>75</v>
      </c>
      <c r="D26" s="742"/>
      <c r="E26" s="743"/>
      <c r="F26" s="122">
        <f>F23+F24</f>
        <v>0</v>
      </c>
      <c r="G26" s="122">
        <f>G23+G24</f>
        <v>0</v>
      </c>
      <c r="H26" s="129" t="s">
        <v>42</v>
      </c>
      <c r="I26" s="129" t="s">
        <v>42</v>
      </c>
      <c r="J26" s="122">
        <f t="shared" ref="J26:O26" si="2">J23+J24</f>
        <v>0</v>
      </c>
      <c r="K26" s="122">
        <f t="shared" si="2"/>
        <v>0</v>
      </c>
      <c r="L26" s="122">
        <f t="shared" si="2"/>
        <v>0</v>
      </c>
      <c r="M26" s="122">
        <f t="shared" si="2"/>
        <v>0</v>
      </c>
      <c r="N26" s="122">
        <f t="shared" si="2"/>
        <v>0</v>
      </c>
      <c r="O26" s="122">
        <f t="shared" si="2"/>
        <v>0</v>
      </c>
      <c r="P26" s="129" t="s">
        <v>42</v>
      </c>
      <c r="Q26" s="129" t="s">
        <v>42</v>
      </c>
      <c r="R26" s="122">
        <f>R23+R24</f>
        <v>0</v>
      </c>
      <c r="S26" s="123"/>
      <c r="T26" s="123"/>
      <c r="U26" s="123"/>
      <c r="V26" s="124"/>
      <c r="W26" s="125" t="s">
        <v>75</v>
      </c>
      <c r="X26" s="122">
        <f t="shared" ref="X26:AM26" si="3">X23+X24</f>
        <v>0</v>
      </c>
      <c r="Y26" s="122">
        <f t="shared" si="3"/>
        <v>0</v>
      </c>
      <c r="Z26" s="122">
        <f t="shared" si="3"/>
        <v>0</v>
      </c>
      <c r="AA26" s="122">
        <f t="shared" si="3"/>
        <v>0</v>
      </c>
      <c r="AB26" s="126">
        <f t="shared" si="3"/>
        <v>0</v>
      </c>
      <c r="AC26" s="126">
        <f t="shared" si="3"/>
        <v>0</v>
      </c>
      <c r="AD26" s="126">
        <f t="shared" si="3"/>
        <v>0</v>
      </c>
      <c r="AE26" s="126">
        <f t="shared" si="3"/>
        <v>0</v>
      </c>
      <c r="AF26" s="130">
        <f t="shared" si="3"/>
        <v>0</v>
      </c>
      <c r="AG26" s="130">
        <f t="shared" si="3"/>
        <v>0</v>
      </c>
      <c r="AH26" s="130">
        <f t="shared" si="3"/>
        <v>0</v>
      </c>
      <c r="AI26" s="130">
        <f t="shared" si="3"/>
        <v>0</v>
      </c>
      <c r="AJ26" s="122">
        <f t="shared" si="3"/>
        <v>0</v>
      </c>
      <c r="AK26" s="122">
        <f t="shared" si="3"/>
        <v>0</v>
      </c>
      <c r="AL26" s="122">
        <f t="shared" si="3"/>
        <v>0</v>
      </c>
      <c r="AM26" s="122">
        <f t="shared" si="3"/>
        <v>0</v>
      </c>
    </row>
    <row r="27" spans="1:39" ht="14.95" customHeight="1" thickBot="1" x14ac:dyDescent="0.3">
      <c r="A27" s="128"/>
      <c r="B27" s="128"/>
      <c r="C27" s="741" t="s">
        <v>76</v>
      </c>
      <c r="D27" s="742"/>
      <c r="E27" s="743"/>
      <c r="F27" s="122">
        <f>SUM(F25+F26)</f>
        <v>369</v>
      </c>
      <c r="G27" s="122">
        <f t="shared" ref="G27:R27" si="4">SUM(G25+G26)</f>
        <v>358</v>
      </c>
      <c r="H27" s="122">
        <f>H25</f>
        <v>8</v>
      </c>
      <c r="I27" s="122">
        <f>I25</f>
        <v>3</v>
      </c>
      <c r="J27" s="122">
        <f t="shared" si="4"/>
        <v>58</v>
      </c>
      <c r="K27" s="122">
        <f t="shared" si="4"/>
        <v>31</v>
      </c>
      <c r="L27" s="122">
        <f t="shared" si="4"/>
        <v>0</v>
      </c>
      <c r="M27" s="122">
        <f t="shared" si="4"/>
        <v>5</v>
      </c>
      <c r="N27" s="122">
        <f t="shared" si="4"/>
        <v>7</v>
      </c>
      <c r="O27" s="122">
        <f t="shared" si="4"/>
        <v>1</v>
      </c>
      <c r="P27" s="122">
        <f t="shared" ref="P27:Q27" si="5">P25</f>
        <v>9</v>
      </c>
      <c r="Q27" s="122">
        <f t="shared" si="5"/>
        <v>3</v>
      </c>
      <c r="R27" s="122">
        <f t="shared" si="4"/>
        <v>56</v>
      </c>
      <c r="S27" s="123"/>
      <c r="T27" s="123"/>
      <c r="U27" s="123"/>
      <c r="V27" s="124"/>
      <c r="W27" s="125" t="s">
        <v>76</v>
      </c>
      <c r="X27" s="122">
        <f t="shared" ref="X27:AM27" si="6">SUM(X25+X26)</f>
        <v>14</v>
      </c>
      <c r="Y27" s="122">
        <f t="shared" si="6"/>
        <v>6</v>
      </c>
      <c r="Z27" s="122">
        <f t="shared" si="6"/>
        <v>1</v>
      </c>
      <c r="AA27" s="122">
        <f t="shared" si="6"/>
        <v>7</v>
      </c>
      <c r="AB27" s="126">
        <f t="shared" si="6"/>
        <v>8</v>
      </c>
      <c r="AC27" s="126">
        <f t="shared" si="6"/>
        <v>4</v>
      </c>
      <c r="AD27" s="126">
        <f t="shared" si="6"/>
        <v>1</v>
      </c>
      <c r="AE27" s="126">
        <f t="shared" si="6"/>
        <v>3</v>
      </c>
      <c r="AF27" s="127">
        <f t="shared" si="6"/>
        <v>6</v>
      </c>
      <c r="AG27" s="127">
        <f t="shared" si="6"/>
        <v>2</v>
      </c>
      <c r="AH27" s="127">
        <f t="shared" si="6"/>
        <v>0</v>
      </c>
      <c r="AI27" s="127">
        <f t="shared" si="6"/>
        <v>4</v>
      </c>
      <c r="AJ27" s="122">
        <f t="shared" si="6"/>
        <v>0</v>
      </c>
      <c r="AK27" s="122">
        <f t="shared" si="6"/>
        <v>0</v>
      </c>
      <c r="AL27" s="122">
        <f t="shared" si="6"/>
        <v>0</v>
      </c>
      <c r="AM27" s="122">
        <f t="shared" si="6"/>
        <v>0</v>
      </c>
    </row>
    <row r="28" spans="1:39" ht="14.95" customHeight="1" thickBot="1" x14ac:dyDescent="0.3">
      <c r="A28" s="34"/>
      <c r="C28" s="726" t="s">
        <v>441</v>
      </c>
      <c r="D28" s="727"/>
      <c r="E28" s="728"/>
      <c r="F28" s="644">
        <f>SUM(F3:F6)</f>
        <v>113</v>
      </c>
      <c r="G28" s="644">
        <f t="shared" ref="G28:R28" si="7">SUM(G3:G6)</f>
        <v>70</v>
      </c>
      <c r="H28" s="644">
        <f t="shared" si="7"/>
        <v>2</v>
      </c>
      <c r="I28" s="644">
        <f t="shared" si="7"/>
        <v>1</v>
      </c>
      <c r="J28" s="644">
        <f t="shared" si="7"/>
        <v>19</v>
      </c>
      <c r="K28" s="644">
        <f t="shared" si="7"/>
        <v>9</v>
      </c>
      <c r="L28" s="644">
        <f t="shared" si="7"/>
        <v>0</v>
      </c>
      <c r="M28" s="644">
        <f t="shared" si="7"/>
        <v>0</v>
      </c>
      <c r="N28" s="644">
        <f t="shared" si="7"/>
        <v>1</v>
      </c>
      <c r="O28" s="644">
        <f t="shared" si="7"/>
        <v>0</v>
      </c>
      <c r="P28" s="644">
        <f t="shared" si="7"/>
        <v>2</v>
      </c>
      <c r="Q28" s="644">
        <f t="shared" si="7"/>
        <v>0</v>
      </c>
      <c r="R28" s="644">
        <f t="shared" si="7"/>
        <v>12</v>
      </c>
      <c r="S28" s="645"/>
      <c r="T28" s="645"/>
      <c r="U28" s="645"/>
      <c r="V28" s="646"/>
      <c r="W28" s="647" t="s">
        <v>441</v>
      </c>
      <c r="X28" s="644">
        <f t="shared" ref="X28:AM28" si="8">SUM(X3:X6)</f>
        <v>4</v>
      </c>
      <c r="Y28" s="644">
        <f t="shared" si="8"/>
        <v>2</v>
      </c>
      <c r="Z28" s="644">
        <f t="shared" si="8"/>
        <v>0</v>
      </c>
      <c r="AA28" s="644">
        <f t="shared" si="8"/>
        <v>2</v>
      </c>
      <c r="AB28" s="648">
        <f t="shared" si="8"/>
        <v>2</v>
      </c>
      <c r="AC28" s="648">
        <f t="shared" si="8"/>
        <v>1</v>
      </c>
      <c r="AD28" s="648">
        <f t="shared" si="8"/>
        <v>0</v>
      </c>
      <c r="AE28" s="648">
        <f t="shared" si="8"/>
        <v>1</v>
      </c>
      <c r="AF28" s="649">
        <f t="shared" si="8"/>
        <v>2</v>
      </c>
      <c r="AG28" s="649">
        <f t="shared" si="8"/>
        <v>1</v>
      </c>
      <c r="AH28" s="649">
        <f t="shared" si="8"/>
        <v>0</v>
      </c>
      <c r="AI28" s="649">
        <f t="shared" si="8"/>
        <v>1</v>
      </c>
      <c r="AJ28" s="644">
        <f t="shared" si="8"/>
        <v>0</v>
      </c>
      <c r="AK28" s="644">
        <f t="shared" si="8"/>
        <v>0</v>
      </c>
      <c r="AL28" s="644">
        <f t="shared" si="8"/>
        <v>0</v>
      </c>
      <c r="AM28" s="644">
        <f t="shared" si="8"/>
        <v>0</v>
      </c>
    </row>
    <row r="29" spans="1:39" ht="14.95" customHeight="1" thickBot="1" x14ac:dyDescent="0.3">
      <c r="A29" s="501"/>
      <c r="C29" s="726" t="s">
        <v>442</v>
      </c>
      <c r="D29" s="727"/>
      <c r="E29" s="728"/>
      <c r="F29" s="644">
        <v>0</v>
      </c>
      <c r="G29" s="644">
        <v>0</v>
      </c>
      <c r="H29" s="644">
        <v>0</v>
      </c>
      <c r="I29" s="644">
        <v>0</v>
      </c>
      <c r="J29" s="644">
        <v>0</v>
      </c>
      <c r="K29" s="644">
        <v>0</v>
      </c>
      <c r="L29" s="644">
        <v>0</v>
      </c>
      <c r="M29" s="644">
        <v>0</v>
      </c>
      <c r="N29" s="644">
        <v>0</v>
      </c>
      <c r="O29" s="644">
        <v>0</v>
      </c>
      <c r="P29" s="644">
        <v>0</v>
      </c>
      <c r="Q29" s="644">
        <v>0</v>
      </c>
      <c r="R29" s="644">
        <v>0</v>
      </c>
      <c r="S29" s="645"/>
      <c r="T29" s="645"/>
      <c r="U29" s="645"/>
      <c r="V29" s="646"/>
      <c r="W29" s="647" t="s">
        <v>442</v>
      </c>
      <c r="X29" s="644">
        <v>0</v>
      </c>
      <c r="Y29" s="644">
        <v>0</v>
      </c>
      <c r="Z29" s="644">
        <v>0</v>
      </c>
      <c r="AA29" s="644">
        <v>0</v>
      </c>
      <c r="AB29" s="648">
        <v>0</v>
      </c>
      <c r="AC29" s="648">
        <v>0</v>
      </c>
      <c r="AD29" s="648">
        <v>0</v>
      </c>
      <c r="AE29" s="648">
        <v>0</v>
      </c>
      <c r="AF29" s="649">
        <v>0</v>
      </c>
      <c r="AG29" s="649">
        <v>0</v>
      </c>
      <c r="AH29" s="649">
        <v>0</v>
      </c>
      <c r="AI29" s="649">
        <v>0</v>
      </c>
      <c r="AJ29" s="644">
        <v>0</v>
      </c>
      <c r="AK29" s="644">
        <v>0</v>
      </c>
      <c r="AL29" s="644">
        <v>0</v>
      </c>
      <c r="AM29" s="644">
        <v>0</v>
      </c>
    </row>
    <row r="30" spans="1:39" ht="17" thickBot="1" x14ac:dyDescent="0.35">
      <c r="A30" s="475"/>
      <c r="C30" s="726" t="s">
        <v>440</v>
      </c>
      <c r="D30" s="727"/>
      <c r="E30" s="728"/>
      <c r="F30" s="644">
        <f>SUM(F28+F29)</f>
        <v>113</v>
      </c>
      <c r="G30" s="644">
        <f t="shared" ref="G30:R30" si="9">SUM(G28+G29)</f>
        <v>70</v>
      </c>
      <c r="H30" s="644">
        <f t="shared" si="9"/>
        <v>2</v>
      </c>
      <c r="I30" s="644">
        <f t="shared" si="9"/>
        <v>1</v>
      </c>
      <c r="J30" s="644">
        <f t="shared" si="9"/>
        <v>19</v>
      </c>
      <c r="K30" s="644">
        <f t="shared" si="9"/>
        <v>9</v>
      </c>
      <c r="L30" s="644">
        <f t="shared" si="9"/>
        <v>0</v>
      </c>
      <c r="M30" s="644">
        <f t="shared" si="9"/>
        <v>0</v>
      </c>
      <c r="N30" s="644">
        <f t="shared" si="9"/>
        <v>1</v>
      </c>
      <c r="O30" s="644">
        <f t="shared" si="9"/>
        <v>0</v>
      </c>
      <c r="P30" s="644">
        <f t="shared" si="9"/>
        <v>2</v>
      </c>
      <c r="Q30" s="644">
        <f t="shared" si="9"/>
        <v>0</v>
      </c>
      <c r="R30" s="644">
        <f t="shared" si="9"/>
        <v>12</v>
      </c>
      <c r="S30" s="645"/>
      <c r="T30" s="645"/>
      <c r="U30" s="645"/>
      <c r="V30" s="646"/>
      <c r="W30" s="647" t="s">
        <v>440</v>
      </c>
      <c r="X30" s="644">
        <f t="shared" ref="X30:AM30" si="10">SUM(X28+X29)</f>
        <v>4</v>
      </c>
      <c r="Y30" s="644">
        <f t="shared" si="10"/>
        <v>2</v>
      </c>
      <c r="Z30" s="644">
        <f t="shared" si="10"/>
        <v>0</v>
      </c>
      <c r="AA30" s="644">
        <f t="shared" si="10"/>
        <v>2</v>
      </c>
      <c r="AB30" s="648">
        <f t="shared" si="10"/>
        <v>2</v>
      </c>
      <c r="AC30" s="648">
        <f t="shared" si="10"/>
        <v>1</v>
      </c>
      <c r="AD30" s="648">
        <f t="shared" si="10"/>
        <v>0</v>
      </c>
      <c r="AE30" s="648">
        <f t="shared" si="10"/>
        <v>1</v>
      </c>
      <c r="AF30" s="649">
        <f t="shared" si="10"/>
        <v>2</v>
      </c>
      <c r="AG30" s="649">
        <f t="shared" si="10"/>
        <v>1</v>
      </c>
      <c r="AH30" s="649">
        <f t="shared" si="10"/>
        <v>0</v>
      </c>
      <c r="AI30" s="649">
        <f t="shared" si="10"/>
        <v>1</v>
      </c>
      <c r="AJ30" s="644">
        <f t="shared" si="10"/>
        <v>0</v>
      </c>
      <c r="AK30" s="644">
        <f t="shared" si="10"/>
        <v>0</v>
      </c>
      <c r="AL30" s="644">
        <f t="shared" si="10"/>
        <v>0</v>
      </c>
      <c r="AM30" s="644">
        <f t="shared" si="10"/>
        <v>0</v>
      </c>
    </row>
    <row r="31" spans="1:39" ht="14.95" thickBot="1" x14ac:dyDescent="0.3">
      <c r="A31" s="34"/>
      <c r="C31" s="744" t="s">
        <v>29</v>
      </c>
      <c r="D31" s="761"/>
      <c r="E31" s="762"/>
      <c r="F31" s="57">
        <f>SUM(F3:F24)</f>
        <v>482</v>
      </c>
      <c r="G31" s="57">
        <f t="shared" ref="G31:R31" si="11">SUM(G3:G24)</f>
        <v>428</v>
      </c>
      <c r="H31" s="57">
        <f t="shared" si="11"/>
        <v>10</v>
      </c>
      <c r="I31" s="57">
        <f t="shared" si="11"/>
        <v>4</v>
      </c>
      <c r="J31" s="57">
        <f t="shared" si="11"/>
        <v>77</v>
      </c>
      <c r="K31" s="57">
        <f t="shared" si="11"/>
        <v>40</v>
      </c>
      <c r="L31" s="57">
        <f t="shared" si="11"/>
        <v>0</v>
      </c>
      <c r="M31" s="57">
        <f t="shared" si="11"/>
        <v>5</v>
      </c>
      <c r="N31" s="57">
        <f t="shared" si="11"/>
        <v>8</v>
      </c>
      <c r="O31" s="57">
        <f t="shared" si="11"/>
        <v>1</v>
      </c>
      <c r="P31" s="57">
        <f t="shared" si="11"/>
        <v>11</v>
      </c>
      <c r="Q31" s="57">
        <f t="shared" si="11"/>
        <v>3</v>
      </c>
      <c r="R31" s="57">
        <f t="shared" si="11"/>
        <v>68</v>
      </c>
      <c r="S31" s="40"/>
      <c r="T31" s="40"/>
      <c r="U31" s="41"/>
      <c r="V31" s="41"/>
      <c r="W31" s="65" t="s">
        <v>29</v>
      </c>
      <c r="X31" s="57">
        <f t="shared" ref="X31:AM31" si="12">SUM(X3:X24)</f>
        <v>18</v>
      </c>
      <c r="Y31" s="57">
        <f t="shared" si="12"/>
        <v>8</v>
      </c>
      <c r="Z31" s="57">
        <f t="shared" si="12"/>
        <v>1</v>
      </c>
      <c r="AA31" s="57">
        <f t="shared" si="12"/>
        <v>9</v>
      </c>
      <c r="AB31" s="19">
        <f t="shared" si="12"/>
        <v>10</v>
      </c>
      <c r="AC31" s="19">
        <f t="shared" si="12"/>
        <v>5</v>
      </c>
      <c r="AD31" s="19">
        <f t="shared" si="12"/>
        <v>1</v>
      </c>
      <c r="AE31" s="19">
        <f t="shared" si="12"/>
        <v>4</v>
      </c>
      <c r="AF31" s="56">
        <f t="shared" si="12"/>
        <v>8</v>
      </c>
      <c r="AG31" s="56">
        <f t="shared" si="12"/>
        <v>3</v>
      </c>
      <c r="AH31" s="56">
        <f t="shared" si="12"/>
        <v>0</v>
      </c>
      <c r="AI31" s="56">
        <f t="shared" si="12"/>
        <v>5</v>
      </c>
      <c r="AJ31" s="57">
        <f t="shared" si="12"/>
        <v>0</v>
      </c>
      <c r="AK31" s="57">
        <f t="shared" si="12"/>
        <v>0</v>
      </c>
      <c r="AL31" s="57">
        <f t="shared" si="12"/>
        <v>0</v>
      </c>
      <c r="AM31" s="57">
        <f t="shared" si="12"/>
        <v>0</v>
      </c>
    </row>
    <row r="32" spans="1:39" x14ac:dyDescent="0.25">
      <c r="A32" s="513" t="s">
        <v>543</v>
      </c>
    </row>
    <row r="33" spans="1:1" x14ac:dyDescent="0.25">
      <c r="A33" s="558" t="s">
        <v>314</v>
      </c>
    </row>
    <row r="34" spans="1:1" ht="16.3" x14ac:dyDescent="0.3">
      <c r="A34" s="475" t="s">
        <v>47</v>
      </c>
    </row>
  </sheetData>
  <mergeCells count="17">
    <mergeCell ref="C27:E27"/>
    <mergeCell ref="C31:E31"/>
    <mergeCell ref="X1:AA1"/>
    <mergeCell ref="AB1:AE1"/>
    <mergeCell ref="AF1:AI1"/>
    <mergeCell ref="C28:E28"/>
    <mergeCell ref="C29:E29"/>
    <mergeCell ref="C30:E30"/>
    <mergeCell ref="AJ1:AM1"/>
    <mergeCell ref="C25:E25"/>
    <mergeCell ref="C26:E26"/>
    <mergeCell ref="A1:D1"/>
    <mergeCell ref="E1:G1"/>
    <mergeCell ref="H1:I1"/>
    <mergeCell ref="J1:M1"/>
    <mergeCell ref="N1:O1"/>
    <mergeCell ref="P1:R1"/>
  </mergeCells>
  <pageMargins left="0.7" right="0.7" top="0.75" bottom="0.75" header="0.3" footer="0.3"/>
  <pageSetup orientation="portrait" r:id="rId1"/>
  <ignoredErrors>
    <ignoredError sqref="S9 S5 S11 S13 S15 S18" twoDigitTextYear="1"/>
    <ignoredError sqref="F25:AM28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L36"/>
  <sheetViews>
    <sheetView zoomScale="90" zoomScaleNormal="90" workbookViewId="0">
      <pane ySplit="2" topLeftCell="A3" activePane="bottomLeft" state="frozen"/>
      <selection activeCell="S7" sqref="S7:W7"/>
      <selection pane="bottomLeft" activeCell="R21" sqref="R21"/>
    </sheetView>
  </sheetViews>
  <sheetFormatPr defaultColWidth="8.75" defaultRowHeight="14.3" x14ac:dyDescent="0.25"/>
  <cols>
    <col min="1" max="1" width="9.75" customWidth="1"/>
    <col min="2" max="2" width="5.75" customWidth="1"/>
    <col min="3" max="3" width="13.625" bestFit="1" customWidth="1"/>
    <col min="4" max="6" width="3.75" customWidth="1"/>
    <col min="7" max="7" width="4" bestFit="1" customWidth="1"/>
    <col min="8" max="18" width="3.75" customWidth="1"/>
    <col min="19" max="19" width="5.75" customWidth="1"/>
    <col min="20" max="20" width="16.25" bestFit="1" customWidth="1"/>
    <col min="21" max="21" width="18.875" bestFit="1" customWidth="1"/>
    <col min="22" max="22" width="18" bestFit="1" customWidth="1"/>
    <col min="23" max="23" width="16.25" bestFit="1" customWidth="1"/>
    <col min="24" max="39" width="3.75" customWidth="1"/>
    <col min="40" max="40" width="1.625" customWidth="1"/>
    <col min="41" max="41" width="12.75" bestFit="1" customWidth="1"/>
  </cols>
  <sheetData>
    <row r="1" spans="1:506" ht="14.95" customHeight="1" thickBot="1" x14ac:dyDescent="0.3">
      <c r="A1" s="832" t="s">
        <v>238</v>
      </c>
      <c r="B1" s="833"/>
      <c r="C1" s="833"/>
      <c r="D1" s="834"/>
      <c r="E1" s="829" t="s">
        <v>36</v>
      </c>
      <c r="F1" s="830"/>
      <c r="G1" s="831"/>
      <c r="H1" s="829" t="s">
        <v>35</v>
      </c>
      <c r="I1" s="831"/>
      <c r="J1" s="835" t="s">
        <v>16</v>
      </c>
      <c r="K1" s="836"/>
      <c r="L1" s="836"/>
      <c r="M1" s="837"/>
      <c r="N1" s="835" t="s">
        <v>17</v>
      </c>
      <c r="O1" s="837"/>
      <c r="P1" s="835" t="s">
        <v>38</v>
      </c>
      <c r="Q1" s="836"/>
      <c r="R1" s="837"/>
      <c r="S1" s="101" t="s">
        <v>18</v>
      </c>
      <c r="T1" s="102" t="s">
        <v>19</v>
      </c>
      <c r="U1" s="103" t="s">
        <v>20</v>
      </c>
      <c r="V1" s="104" t="s">
        <v>44</v>
      </c>
      <c r="W1" s="105" t="s">
        <v>45</v>
      </c>
      <c r="X1" s="826" t="s">
        <v>30</v>
      </c>
      <c r="Y1" s="827"/>
      <c r="Z1" s="827"/>
      <c r="AA1" s="828"/>
      <c r="AB1" s="826" t="s">
        <v>31</v>
      </c>
      <c r="AC1" s="827"/>
      <c r="AD1" s="827"/>
      <c r="AE1" s="828"/>
      <c r="AF1" s="826" t="s">
        <v>32</v>
      </c>
      <c r="AG1" s="827"/>
      <c r="AH1" s="827"/>
      <c r="AI1" s="828"/>
      <c r="AJ1" s="826" t="s">
        <v>48</v>
      </c>
      <c r="AK1" s="827"/>
      <c r="AL1" s="827"/>
      <c r="AM1" s="827"/>
      <c r="AO1" s="444" t="s">
        <v>198</v>
      </c>
    </row>
    <row r="2" spans="1:506" ht="14.95" customHeight="1" thickBot="1" x14ac:dyDescent="0.3">
      <c r="A2" s="106" t="s">
        <v>28</v>
      </c>
      <c r="B2" s="107" t="s">
        <v>27</v>
      </c>
      <c r="C2" s="108" t="s">
        <v>26</v>
      </c>
      <c r="D2" s="108" t="s">
        <v>37</v>
      </c>
      <c r="E2" s="109" t="s">
        <v>25</v>
      </c>
      <c r="F2" s="109" t="s">
        <v>11</v>
      </c>
      <c r="G2" s="109" t="s">
        <v>12</v>
      </c>
      <c r="H2" s="110" t="s">
        <v>33</v>
      </c>
      <c r="I2" s="110" t="s">
        <v>34</v>
      </c>
      <c r="J2" s="110" t="s">
        <v>21</v>
      </c>
      <c r="K2" s="110" t="s">
        <v>22</v>
      </c>
      <c r="L2" s="110" t="s">
        <v>9</v>
      </c>
      <c r="M2" s="110" t="s">
        <v>23</v>
      </c>
      <c r="N2" s="110" t="s">
        <v>24</v>
      </c>
      <c r="O2" s="110" t="s">
        <v>25</v>
      </c>
      <c r="P2" s="110" t="s">
        <v>33</v>
      </c>
      <c r="Q2" s="110" t="s">
        <v>34</v>
      </c>
      <c r="R2" s="110" t="s">
        <v>21</v>
      </c>
      <c r="S2" s="112"/>
      <c r="T2" s="113"/>
      <c r="U2" s="111"/>
      <c r="V2" s="114"/>
      <c r="W2" s="115"/>
      <c r="X2" s="116" t="s">
        <v>7</v>
      </c>
      <c r="Y2" s="116" t="s">
        <v>8</v>
      </c>
      <c r="Z2" s="116" t="s">
        <v>9</v>
      </c>
      <c r="AA2" s="116" t="s">
        <v>10</v>
      </c>
      <c r="AB2" s="116" t="s">
        <v>7</v>
      </c>
      <c r="AC2" s="116" t="s">
        <v>8</v>
      </c>
      <c r="AD2" s="116" t="s">
        <v>9</v>
      </c>
      <c r="AE2" s="116" t="s">
        <v>10</v>
      </c>
      <c r="AF2" s="116" t="s">
        <v>7</v>
      </c>
      <c r="AG2" s="116" t="s">
        <v>8</v>
      </c>
      <c r="AH2" s="116" t="s">
        <v>9</v>
      </c>
      <c r="AI2" s="117" t="s">
        <v>10</v>
      </c>
      <c r="AJ2" s="116" t="s">
        <v>7</v>
      </c>
      <c r="AK2" s="116" t="s">
        <v>8</v>
      </c>
      <c r="AL2" s="116" t="s">
        <v>9</v>
      </c>
      <c r="AM2" s="117" t="s">
        <v>10</v>
      </c>
      <c r="AO2" s="319" t="s">
        <v>197</v>
      </c>
      <c r="AP2" s="1"/>
    </row>
    <row r="3" spans="1:506" s="35" customFormat="1" ht="14.95" customHeight="1" thickBot="1" x14ac:dyDescent="0.35">
      <c r="A3" s="529" t="s">
        <v>255</v>
      </c>
      <c r="B3" s="530" t="s">
        <v>260</v>
      </c>
      <c r="C3" s="530" t="s">
        <v>49</v>
      </c>
      <c r="D3" s="530" t="s">
        <v>153</v>
      </c>
      <c r="E3" s="531" t="s">
        <v>8</v>
      </c>
      <c r="F3" s="531">
        <v>45</v>
      </c>
      <c r="G3" s="531">
        <v>28</v>
      </c>
      <c r="H3" s="601">
        <v>1</v>
      </c>
      <c r="I3" s="601">
        <v>0</v>
      </c>
      <c r="J3" s="601">
        <v>7</v>
      </c>
      <c r="K3" s="601">
        <v>5</v>
      </c>
      <c r="L3" s="601">
        <v>0</v>
      </c>
      <c r="M3" s="601">
        <v>0</v>
      </c>
      <c r="N3" s="601">
        <v>1</v>
      </c>
      <c r="O3" s="601">
        <v>0</v>
      </c>
      <c r="P3" s="601">
        <v>1</v>
      </c>
      <c r="Q3" s="601">
        <v>0</v>
      </c>
      <c r="R3" s="601">
        <v>4</v>
      </c>
      <c r="S3" s="538" t="s">
        <v>256</v>
      </c>
      <c r="T3" s="532" t="s">
        <v>291</v>
      </c>
      <c r="U3" s="533" t="s">
        <v>50</v>
      </c>
      <c r="V3" s="533" t="s">
        <v>286</v>
      </c>
      <c r="W3" s="534" t="s">
        <v>323</v>
      </c>
      <c r="X3" s="535">
        <v>1</v>
      </c>
      <c r="Y3" s="535">
        <v>1</v>
      </c>
      <c r="Z3" s="535">
        <v>0</v>
      </c>
      <c r="AA3" s="536">
        <v>0</v>
      </c>
      <c r="AB3" s="535">
        <v>1</v>
      </c>
      <c r="AC3" s="535">
        <v>1</v>
      </c>
      <c r="AD3" s="535">
        <v>0</v>
      </c>
      <c r="AE3" s="536">
        <v>0</v>
      </c>
      <c r="AF3" s="535">
        <v>0</v>
      </c>
      <c r="AG3" s="535">
        <v>0</v>
      </c>
      <c r="AH3" s="535">
        <v>0</v>
      </c>
      <c r="AI3" s="537">
        <v>0</v>
      </c>
      <c r="AJ3" s="535">
        <v>0</v>
      </c>
      <c r="AK3" s="535">
        <v>0</v>
      </c>
      <c r="AL3" s="535">
        <v>0</v>
      </c>
      <c r="AM3" s="537">
        <v>0</v>
      </c>
      <c r="AN3" s="33"/>
      <c r="AO3" s="435" t="s">
        <v>64</v>
      </c>
      <c r="AP3" s="436">
        <f>saracensPWRhistplayed</f>
        <v>159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</row>
    <row r="4" spans="1:506" s="35" customFormat="1" ht="14.95" customHeight="1" thickBot="1" x14ac:dyDescent="0.35">
      <c r="A4" s="540" t="s">
        <v>257</v>
      </c>
      <c r="B4" s="541" t="s">
        <v>260</v>
      </c>
      <c r="C4" s="541" t="s">
        <v>540</v>
      </c>
      <c r="D4" s="541" t="s">
        <v>164</v>
      </c>
      <c r="E4" s="542" t="s">
        <v>8</v>
      </c>
      <c r="F4" s="542">
        <v>59</v>
      </c>
      <c r="G4" s="542">
        <v>14</v>
      </c>
      <c r="H4" s="602">
        <v>1</v>
      </c>
      <c r="I4" s="602">
        <v>0</v>
      </c>
      <c r="J4" s="602">
        <v>9</v>
      </c>
      <c r="K4" s="602">
        <v>7</v>
      </c>
      <c r="L4" s="602">
        <v>0</v>
      </c>
      <c r="M4" s="602">
        <v>0</v>
      </c>
      <c r="N4" s="602">
        <v>0</v>
      </c>
      <c r="O4" s="602">
        <v>0</v>
      </c>
      <c r="P4" s="602">
        <v>0</v>
      </c>
      <c r="Q4" s="602">
        <v>0</v>
      </c>
      <c r="R4" s="602">
        <v>2</v>
      </c>
      <c r="S4" s="543" t="s">
        <v>258</v>
      </c>
      <c r="T4" s="544" t="s">
        <v>324</v>
      </c>
      <c r="U4" s="545" t="s">
        <v>50</v>
      </c>
      <c r="V4" s="545" t="s">
        <v>290</v>
      </c>
      <c r="W4" s="546" t="s">
        <v>325</v>
      </c>
      <c r="X4" s="547">
        <v>1</v>
      </c>
      <c r="Y4" s="547">
        <v>1</v>
      </c>
      <c r="Z4" s="547">
        <v>0</v>
      </c>
      <c r="AA4" s="548">
        <v>0</v>
      </c>
      <c r="AB4" s="547">
        <v>0</v>
      </c>
      <c r="AC4" s="547">
        <v>0</v>
      </c>
      <c r="AD4" s="547">
        <v>0</v>
      </c>
      <c r="AE4" s="548">
        <v>0</v>
      </c>
      <c r="AF4" s="547">
        <v>1</v>
      </c>
      <c r="AG4" s="547">
        <v>1</v>
      </c>
      <c r="AH4" s="547">
        <v>0</v>
      </c>
      <c r="AI4" s="549">
        <v>0</v>
      </c>
      <c r="AJ4" s="547">
        <v>0</v>
      </c>
      <c r="AK4" s="547">
        <v>0</v>
      </c>
      <c r="AL4" s="547">
        <v>0</v>
      </c>
      <c r="AM4" s="549">
        <v>0</v>
      </c>
      <c r="AN4" s="33"/>
      <c r="AO4" s="373" t="s">
        <v>65</v>
      </c>
      <c r="AP4" s="437">
        <f>saracensPWRhistwon</f>
        <v>135</v>
      </c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</row>
    <row r="5" spans="1:506" s="37" customFormat="1" ht="14.95" customHeight="1" thickBot="1" x14ac:dyDescent="0.35">
      <c r="A5" s="540" t="s">
        <v>259</v>
      </c>
      <c r="B5" s="541" t="s">
        <v>260</v>
      </c>
      <c r="C5" s="541" t="s">
        <v>3</v>
      </c>
      <c r="D5" s="541" t="s">
        <v>12</v>
      </c>
      <c r="E5" s="542" t="s">
        <v>8</v>
      </c>
      <c r="F5" s="542">
        <v>27</v>
      </c>
      <c r="G5" s="542">
        <v>14</v>
      </c>
      <c r="H5" s="602">
        <v>1</v>
      </c>
      <c r="I5" s="602">
        <v>0</v>
      </c>
      <c r="J5" s="602">
        <v>5</v>
      </c>
      <c r="K5" s="602">
        <v>1</v>
      </c>
      <c r="L5" s="602">
        <v>0</v>
      </c>
      <c r="M5" s="602">
        <v>0</v>
      </c>
      <c r="N5" s="602">
        <v>0</v>
      </c>
      <c r="O5" s="602">
        <v>0</v>
      </c>
      <c r="P5" s="602">
        <v>0</v>
      </c>
      <c r="Q5" s="602">
        <v>0</v>
      </c>
      <c r="R5" s="602">
        <v>2</v>
      </c>
      <c r="S5" s="543" t="s">
        <v>261</v>
      </c>
      <c r="T5" s="544" t="s">
        <v>326</v>
      </c>
      <c r="U5" s="545" t="s">
        <v>50</v>
      </c>
      <c r="V5" s="545" t="s">
        <v>327</v>
      </c>
      <c r="W5" s="546" t="s">
        <v>325</v>
      </c>
      <c r="X5" s="547">
        <v>1</v>
      </c>
      <c r="Y5" s="547">
        <v>1</v>
      </c>
      <c r="Z5" s="547">
        <v>0</v>
      </c>
      <c r="AA5" s="548">
        <v>0</v>
      </c>
      <c r="AB5" s="547">
        <v>0</v>
      </c>
      <c r="AC5" s="547">
        <v>0</v>
      </c>
      <c r="AD5" s="547">
        <v>0</v>
      </c>
      <c r="AE5" s="548">
        <v>0</v>
      </c>
      <c r="AF5" s="547">
        <v>1</v>
      </c>
      <c r="AG5" s="547">
        <v>1</v>
      </c>
      <c r="AH5" s="547">
        <v>0</v>
      </c>
      <c r="AI5" s="549">
        <v>0</v>
      </c>
      <c r="AJ5" s="547">
        <v>0</v>
      </c>
      <c r="AK5" s="547">
        <v>0</v>
      </c>
      <c r="AL5" s="547">
        <v>0</v>
      </c>
      <c r="AM5" s="549">
        <v>0</v>
      </c>
      <c r="AN5" s="33"/>
      <c r="AO5" s="373" t="s">
        <v>192</v>
      </c>
      <c r="AP5" s="437">
        <f>saracensPWRhistdrawn</f>
        <v>2</v>
      </c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</row>
    <row r="6" spans="1:506" s="35" customFormat="1" ht="14.95" customHeight="1" thickBot="1" x14ac:dyDescent="0.35">
      <c r="A6" s="529" t="s">
        <v>262</v>
      </c>
      <c r="B6" s="530" t="s">
        <v>260</v>
      </c>
      <c r="C6" s="530" t="s">
        <v>70</v>
      </c>
      <c r="D6" s="530" t="s">
        <v>153</v>
      </c>
      <c r="E6" s="531" t="s">
        <v>8</v>
      </c>
      <c r="F6" s="531">
        <v>68</v>
      </c>
      <c r="G6" s="531">
        <v>7</v>
      </c>
      <c r="H6" s="601">
        <v>1</v>
      </c>
      <c r="I6" s="601">
        <v>0</v>
      </c>
      <c r="J6" s="601">
        <v>10</v>
      </c>
      <c r="K6" s="601">
        <v>9</v>
      </c>
      <c r="L6" s="601">
        <v>0</v>
      </c>
      <c r="M6" s="601">
        <v>0</v>
      </c>
      <c r="N6" s="601">
        <v>0</v>
      </c>
      <c r="O6" s="601">
        <v>0</v>
      </c>
      <c r="P6" s="601">
        <v>0</v>
      </c>
      <c r="Q6" s="601">
        <v>0</v>
      </c>
      <c r="R6" s="601">
        <v>1</v>
      </c>
      <c r="S6" s="539" t="s">
        <v>263</v>
      </c>
      <c r="T6" s="532" t="s">
        <v>294</v>
      </c>
      <c r="U6" s="533" t="s">
        <v>50</v>
      </c>
      <c r="V6" s="533" t="s">
        <v>298</v>
      </c>
      <c r="W6" s="534" t="s">
        <v>284</v>
      </c>
      <c r="X6" s="535">
        <v>1</v>
      </c>
      <c r="Y6" s="535">
        <v>1</v>
      </c>
      <c r="Z6" s="535">
        <v>0</v>
      </c>
      <c r="AA6" s="536">
        <v>0</v>
      </c>
      <c r="AB6" s="535">
        <v>1</v>
      </c>
      <c r="AC6" s="535">
        <v>1</v>
      </c>
      <c r="AD6" s="535">
        <v>0</v>
      </c>
      <c r="AE6" s="536">
        <v>0</v>
      </c>
      <c r="AF6" s="535">
        <v>0</v>
      </c>
      <c r="AG6" s="535">
        <v>0</v>
      </c>
      <c r="AH6" s="535">
        <v>0</v>
      </c>
      <c r="AI6" s="537">
        <v>0</v>
      </c>
      <c r="AJ6" s="535">
        <v>0</v>
      </c>
      <c r="AK6" s="535">
        <v>0</v>
      </c>
      <c r="AL6" s="535">
        <v>0</v>
      </c>
      <c r="AM6" s="537">
        <v>0</v>
      </c>
      <c r="AN6" s="33"/>
      <c r="AO6" s="373" t="s">
        <v>66</v>
      </c>
      <c r="AP6" s="437">
        <f>saracensPWRhistlost</f>
        <v>22</v>
      </c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  <c r="IY6" s="33"/>
      <c r="IZ6" s="33"/>
      <c r="JA6" s="33"/>
      <c r="JB6" s="33"/>
      <c r="JC6" s="33"/>
      <c r="JD6" s="33"/>
      <c r="JE6" s="33"/>
      <c r="JF6" s="33"/>
      <c r="JG6" s="33"/>
      <c r="JH6" s="33"/>
      <c r="JI6" s="33"/>
      <c r="JJ6" s="33"/>
      <c r="JK6" s="33"/>
      <c r="JL6" s="33"/>
      <c r="JM6" s="33"/>
      <c r="JN6" s="33"/>
      <c r="JO6" s="33"/>
      <c r="JP6" s="33"/>
      <c r="JQ6" s="33"/>
      <c r="JR6" s="33"/>
      <c r="JS6" s="33"/>
      <c r="JT6" s="33"/>
      <c r="JU6" s="33"/>
      <c r="JV6" s="33"/>
      <c r="JW6" s="33"/>
      <c r="JX6" s="33"/>
      <c r="JY6" s="33"/>
      <c r="JZ6" s="33"/>
      <c r="KA6" s="33"/>
      <c r="KB6" s="33"/>
      <c r="KC6" s="33"/>
      <c r="KD6" s="33"/>
      <c r="KE6" s="33"/>
      <c r="KF6" s="33"/>
      <c r="KG6" s="33"/>
      <c r="KH6" s="33"/>
      <c r="KI6" s="33"/>
      <c r="KJ6" s="33"/>
      <c r="KK6" s="33"/>
      <c r="KL6" s="33"/>
      <c r="KM6" s="33"/>
      <c r="KN6" s="33"/>
      <c r="KO6" s="33"/>
      <c r="KP6" s="33"/>
      <c r="KQ6" s="33"/>
      <c r="KR6" s="33"/>
      <c r="KS6" s="33"/>
      <c r="KT6" s="33"/>
      <c r="KU6" s="33"/>
      <c r="KV6" s="33"/>
      <c r="KW6" s="33"/>
      <c r="KX6" s="33"/>
      <c r="KY6" s="33"/>
      <c r="KZ6" s="33"/>
      <c r="LA6" s="33"/>
      <c r="LB6" s="33"/>
      <c r="LC6" s="33"/>
      <c r="LD6" s="33"/>
      <c r="LE6" s="33"/>
      <c r="LF6" s="33"/>
      <c r="LG6" s="33"/>
      <c r="LH6" s="33"/>
      <c r="LI6" s="33"/>
      <c r="LJ6" s="33"/>
      <c r="LK6" s="33"/>
      <c r="LL6" s="33"/>
      <c r="LM6" s="33"/>
      <c r="LN6" s="33"/>
      <c r="LO6" s="33"/>
      <c r="LP6" s="33"/>
      <c r="LQ6" s="33"/>
      <c r="LR6" s="33"/>
      <c r="LS6" s="33"/>
      <c r="LT6" s="33"/>
      <c r="LU6" s="33"/>
      <c r="LV6" s="33"/>
      <c r="LW6" s="33"/>
      <c r="LX6" s="33"/>
      <c r="LY6" s="33"/>
      <c r="LZ6" s="33"/>
      <c r="MA6" s="33"/>
      <c r="MB6" s="33"/>
      <c r="MC6" s="33"/>
      <c r="MD6" s="33"/>
      <c r="ME6" s="33"/>
      <c r="MF6" s="33"/>
      <c r="MG6" s="33"/>
      <c r="MH6" s="33"/>
      <c r="MI6" s="33"/>
      <c r="MJ6" s="33"/>
      <c r="MK6" s="33"/>
      <c r="ML6" s="33"/>
      <c r="MM6" s="33"/>
      <c r="MN6" s="33"/>
      <c r="MO6" s="33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  <c r="PA6" s="33"/>
      <c r="PB6" s="33"/>
      <c r="PC6" s="33"/>
      <c r="PD6" s="33"/>
      <c r="PE6" s="33"/>
      <c r="PF6" s="33"/>
      <c r="PG6" s="33"/>
      <c r="PH6" s="33"/>
      <c r="PI6" s="33"/>
      <c r="PJ6" s="33"/>
      <c r="PK6" s="33"/>
      <c r="PL6" s="33"/>
      <c r="PM6" s="33"/>
      <c r="PN6" s="33"/>
      <c r="PO6" s="33"/>
      <c r="PP6" s="33"/>
      <c r="PQ6" s="33"/>
      <c r="PR6" s="33"/>
      <c r="PS6" s="33"/>
      <c r="PT6" s="33"/>
      <c r="PU6" s="33"/>
      <c r="PV6" s="33"/>
      <c r="PW6" s="33"/>
      <c r="PX6" s="33"/>
      <c r="PY6" s="33"/>
      <c r="PZ6" s="33"/>
      <c r="QA6" s="33"/>
      <c r="QB6" s="33"/>
      <c r="QC6" s="33"/>
      <c r="QD6" s="33"/>
      <c r="QE6" s="33"/>
      <c r="QF6" s="33"/>
      <c r="QG6" s="33"/>
      <c r="QH6" s="33"/>
      <c r="QI6" s="33"/>
      <c r="QJ6" s="33"/>
      <c r="QK6" s="33"/>
      <c r="QL6" s="33"/>
      <c r="QM6" s="33"/>
      <c r="QN6" s="33"/>
      <c r="QO6" s="33"/>
      <c r="QP6" s="33"/>
      <c r="QQ6" s="33"/>
      <c r="QR6" s="33"/>
      <c r="QS6" s="33"/>
      <c r="QT6" s="33"/>
      <c r="QU6" s="33"/>
      <c r="QV6" s="33"/>
      <c r="QW6" s="33"/>
      <c r="QX6" s="33"/>
      <c r="QY6" s="33"/>
      <c r="QZ6" s="33"/>
      <c r="RA6" s="33"/>
      <c r="RB6" s="33"/>
      <c r="RC6" s="33"/>
      <c r="RD6" s="33"/>
      <c r="RE6" s="33"/>
      <c r="RF6" s="33"/>
      <c r="RG6" s="33"/>
      <c r="RH6" s="33"/>
      <c r="RI6" s="33"/>
      <c r="RJ6" s="33"/>
      <c r="RK6" s="33"/>
      <c r="RL6" s="33"/>
      <c r="RM6" s="33"/>
      <c r="RN6" s="33"/>
      <c r="RO6" s="33"/>
      <c r="RP6" s="33"/>
      <c r="RQ6" s="33"/>
      <c r="RR6" s="33"/>
      <c r="RS6" s="33"/>
      <c r="RT6" s="33"/>
      <c r="RU6" s="33"/>
      <c r="RV6" s="33"/>
      <c r="RW6" s="33"/>
      <c r="RX6" s="33"/>
      <c r="RY6" s="33"/>
      <c r="RZ6" s="33"/>
      <c r="SA6" s="33"/>
      <c r="SB6" s="33"/>
      <c r="SC6" s="33"/>
      <c r="SD6" s="33"/>
      <c r="SE6" s="33"/>
      <c r="SF6" s="33"/>
      <c r="SG6" s="33"/>
      <c r="SH6" s="33"/>
      <c r="SI6" s="33"/>
      <c r="SJ6" s="33"/>
      <c r="SK6" s="33"/>
      <c r="SL6" s="33"/>
    </row>
    <row r="7" spans="1:506" s="39" customFormat="1" ht="14.95" customHeight="1" thickBot="1" x14ac:dyDescent="0.35">
      <c r="A7" s="529" t="s">
        <v>264</v>
      </c>
      <c r="B7" s="530" t="s">
        <v>265</v>
      </c>
      <c r="C7" s="530" t="s">
        <v>4</v>
      </c>
      <c r="D7" s="530" t="s">
        <v>153</v>
      </c>
      <c r="E7" s="531" t="s">
        <v>8</v>
      </c>
      <c r="F7" s="531">
        <v>39</v>
      </c>
      <c r="G7" s="531">
        <v>5</v>
      </c>
      <c r="H7" s="601" t="s">
        <v>42</v>
      </c>
      <c r="I7" s="601" t="s">
        <v>42</v>
      </c>
      <c r="J7" s="601">
        <v>7</v>
      </c>
      <c r="K7" s="601">
        <v>2</v>
      </c>
      <c r="L7" s="601">
        <v>0</v>
      </c>
      <c r="M7" s="601">
        <v>0</v>
      </c>
      <c r="N7" s="601">
        <v>0</v>
      </c>
      <c r="O7" s="601">
        <v>0</v>
      </c>
      <c r="P7" s="601" t="s">
        <v>42</v>
      </c>
      <c r="Q7" s="601" t="s">
        <v>42</v>
      </c>
      <c r="R7" s="601">
        <v>1</v>
      </c>
      <c r="S7" s="539" t="s">
        <v>266</v>
      </c>
      <c r="T7" s="532" t="s">
        <v>328</v>
      </c>
      <c r="U7" s="533" t="s">
        <v>50</v>
      </c>
      <c r="V7" s="533" t="s">
        <v>444</v>
      </c>
      <c r="W7" s="534" t="s">
        <v>290</v>
      </c>
      <c r="X7" s="535">
        <v>1</v>
      </c>
      <c r="Y7" s="535">
        <v>1</v>
      </c>
      <c r="Z7" s="535">
        <v>0</v>
      </c>
      <c r="AA7" s="536">
        <v>0</v>
      </c>
      <c r="AB7" s="535">
        <v>1</v>
      </c>
      <c r="AC7" s="535">
        <v>1</v>
      </c>
      <c r="AD7" s="535">
        <v>0</v>
      </c>
      <c r="AE7" s="536">
        <v>0</v>
      </c>
      <c r="AF7" s="535">
        <v>0</v>
      </c>
      <c r="AG7" s="535">
        <v>0</v>
      </c>
      <c r="AH7" s="535">
        <v>0</v>
      </c>
      <c r="AI7" s="537">
        <v>0</v>
      </c>
      <c r="AJ7" s="535">
        <v>0</v>
      </c>
      <c r="AK7" s="535">
        <v>0</v>
      </c>
      <c r="AL7" s="535">
        <v>0</v>
      </c>
      <c r="AM7" s="537">
        <v>0</v>
      </c>
      <c r="AN7" s="415"/>
      <c r="AO7" s="373" t="s">
        <v>193</v>
      </c>
      <c r="AP7" s="437">
        <f>saracensPWRhistptsfor</f>
        <v>6184</v>
      </c>
      <c r="AQ7" s="415"/>
      <c r="AR7" s="415"/>
      <c r="AS7" s="415"/>
      <c r="AT7" s="415"/>
      <c r="AU7" s="415"/>
      <c r="AV7" s="415"/>
      <c r="AW7" s="415"/>
      <c r="AX7" s="415"/>
      <c r="AY7" s="415"/>
      <c r="AZ7" s="415"/>
      <c r="BA7" s="415"/>
      <c r="BB7" s="415"/>
      <c r="BC7" s="415"/>
      <c r="BD7" s="415"/>
      <c r="BE7" s="415"/>
      <c r="BF7" s="415"/>
      <c r="BG7" s="415"/>
      <c r="BH7" s="415"/>
      <c r="BI7" s="415"/>
      <c r="BJ7" s="415"/>
      <c r="BK7" s="415"/>
      <c r="BL7" s="415"/>
      <c r="BM7" s="415"/>
      <c r="BN7" s="415"/>
      <c r="BO7" s="415"/>
      <c r="BP7" s="415"/>
      <c r="BQ7" s="415"/>
      <c r="BR7" s="415"/>
      <c r="BS7" s="415"/>
      <c r="BT7" s="415"/>
      <c r="BU7" s="415"/>
      <c r="BV7" s="415"/>
      <c r="BW7" s="415"/>
      <c r="BX7" s="415"/>
      <c r="BY7" s="415"/>
      <c r="BZ7" s="415"/>
      <c r="CA7" s="415"/>
      <c r="CB7" s="415"/>
      <c r="CC7" s="415"/>
      <c r="CD7" s="415"/>
      <c r="CE7" s="415"/>
      <c r="CF7" s="415"/>
      <c r="CG7" s="415"/>
      <c r="CH7" s="415"/>
      <c r="CI7" s="415"/>
      <c r="CJ7" s="415"/>
      <c r="CK7" s="415"/>
      <c r="CL7" s="415"/>
      <c r="CM7" s="415"/>
      <c r="CN7" s="415"/>
      <c r="CO7" s="415"/>
      <c r="CP7" s="415"/>
      <c r="CQ7" s="415"/>
      <c r="CR7" s="415"/>
      <c r="CS7" s="415"/>
      <c r="CT7" s="415"/>
      <c r="CU7" s="415"/>
      <c r="CV7" s="415"/>
      <c r="CW7" s="415"/>
      <c r="CX7" s="415"/>
      <c r="CY7" s="415"/>
      <c r="CZ7" s="415"/>
      <c r="DA7" s="415"/>
      <c r="DB7" s="415"/>
      <c r="DC7" s="415"/>
      <c r="DD7" s="415"/>
      <c r="DE7" s="415"/>
      <c r="DF7" s="415"/>
      <c r="DG7" s="415"/>
      <c r="DH7" s="415"/>
      <c r="DI7" s="415"/>
      <c r="DJ7" s="415"/>
      <c r="DK7" s="415"/>
      <c r="DL7" s="415"/>
      <c r="DM7" s="415"/>
      <c r="DN7" s="415"/>
      <c r="DO7" s="415"/>
      <c r="DP7" s="415"/>
      <c r="DQ7" s="415"/>
      <c r="DR7" s="415"/>
      <c r="DS7" s="415"/>
      <c r="DT7" s="415"/>
      <c r="DU7" s="415"/>
      <c r="DV7" s="415"/>
      <c r="DW7" s="415"/>
      <c r="DX7" s="415"/>
      <c r="DY7" s="415"/>
      <c r="DZ7" s="415"/>
      <c r="EA7" s="415"/>
      <c r="EB7" s="415"/>
      <c r="EC7" s="415"/>
      <c r="ED7" s="415"/>
      <c r="EE7" s="415"/>
      <c r="EF7" s="415"/>
      <c r="EG7" s="415"/>
      <c r="EH7" s="415"/>
      <c r="EI7" s="415"/>
      <c r="EJ7" s="415"/>
      <c r="EK7" s="415"/>
      <c r="EL7" s="415"/>
      <c r="EM7" s="415"/>
      <c r="EN7" s="415"/>
      <c r="EO7" s="415"/>
      <c r="EP7" s="415"/>
      <c r="EQ7" s="415"/>
      <c r="ER7" s="415"/>
      <c r="ES7" s="415"/>
      <c r="ET7" s="415"/>
      <c r="EU7" s="415"/>
      <c r="EV7" s="415"/>
      <c r="EW7" s="415"/>
      <c r="EX7" s="415"/>
      <c r="EY7" s="415"/>
      <c r="EZ7" s="415"/>
      <c r="FA7" s="415"/>
      <c r="FB7" s="415"/>
      <c r="FC7" s="415"/>
      <c r="FD7" s="415"/>
      <c r="FE7" s="415"/>
      <c r="FF7" s="415"/>
      <c r="FG7" s="415"/>
      <c r="FH7" s="415"/>
      <c r="FI7" s="415"/>
      <c r="FJ7" s="415"/>
      <c r="FK7" s="415"/>
      <c r="FL7" s="415"/>
      <c r="FM7" s="415"/>
      <c r="FN7" s="415"/>
      <c r="FO7" s="415"/>
      <c r="FP7" s="415"/>
      <c r="FQ7" s="415"/>
      <c r="FR7" s="415"/>
      <c r="FS7" s="415"/>
      <c r="FT7" s="415"/>
      <c r="FU7" s="415"/>
      <c r="FV7" s="415"/>
      <c r="FW7" s="415"/>
      <c r="FX7" s="415"/>
      <c r="FY7" s="415"/>
      <c r="FZ7" s="415"/>
      <c r="GA7" s="415"/>
      <c r="GB7" s="415"/>
      <c r="GC7" s="415"/>
      <c r="GD7" s="415"/>
      <c r="GE7" s="415"/>
      <c r="GF7" s="415"/>
      <c r="GG7" s="415"/>
      <c r="GH7" s="415"/>
      <c r="GI7" s="415"/>
      <c r="GJ7" s="415"/>
      <c r="GK7" s="415"/>
      <c r="GL7" s="415"/>
      <c r="GM7" s="415"/>
      <c r="GN7" s="415"/>
      <c r="GO7" s="415"/>
      <c r="GP7" s="415"/>
      <c r="GQ7" s="415"/>
      <c r="GR7" s="415"/>
      <c r="GS7" s="415"/>
      <c r="GT7" s="415"/>
      <c r="GU7" s="415"/>
      <c r="GV7" s="415"/>
      <c r="GW7" s="415"/>
      <c r="GX7" s="415"/>
      <c r="GY7" s="415"/>
      <c r="GZ7" s="415"/>
      <c r="HA7" s="415"/>
      <c r="HB7" s="415"/>
      <c r="HC7" s="415"/>
      <c r="HD7" s="415"/>
      <c r="HE7" s="415"/>
      <c r="HF7" s="415"/>
      <c r="HG7" s="415"/>
      <c r="HH7" s="415"/>
      <c r="HI7" s="415"/>
      <c r="HJ7" s="415"/>
      <c r="HK7" s="415"/>
      <c r="HL7" s="415"/>
      <c r="HM7" s="415"/>
      <c r="HN7" s="415"/>
      <c r="HO7" s="415"/>
      <c r="HP7" s="415"/>
      <c r="HQ7" s="415"/>
      <c r="HR7" s="415"/>
      <c r="HS7" s="415"/>
      <c r="HT7" s="415"/>
      <c r="HU7" s="415"/>
      <c r="HV7" s="415"/>
      <c r="HW7" s="415"/>
      <c r="HX7" s="415"/>
      <c r="HY7" s="415"/>
      <c r="HZ7" s="415"/>
      <c r="IA7" s="415"/>
      <c r="IB7" s="415"/>
      <c r="IC7" s="415"/>
      <c r="ID7" s="415"/>
      <c r="IE7" s="415"/>
      <c r="IF7" s="415"/>
      <c r="IG7" s="415"/>
      <c r="IH7" s="415"/>
      <c r="II7" s="415"/>
      <c r="IJ7" s="415"/>
      <c r="IK7" s="415"/>
      <c r="IL7" s="415"/>
      <c r="IM7" s="415"/>
      <c r="IN7" s="415"/>
      <c r="IO7" s="415"/>
      <c r="IP7" s="415"/>
      <c r="IQ7" s="415"/>
      <c r="IR7" s="415"/>
      <c r="IS7" s="415"/>
      <c r="IT7" s="415"/>
      <c r="IU7" s="415"/>
      <c r="IV7" s="415"/>
      <c r="IW7" s="415"/>
      <c r="IX7" s="415"/>
      <c r="IY7" s="415"/>
      <c r="IZ7" s="415"/>
      <c r="JA7" s="415"/>
      <c r="JB7" s="415"/>
      <c r="JC7" s="415"/>
      <c r="JD7" s="415"/>
      <c r="JE7" s="415"/>
      <c r="JF7" s="415"/>
      <c r="JG7" s="415"/>
      <c r="JH7" s="415"/>
      <c r="JI7" s="415"/>
      <c r="JJ7" s="415"/>
      <c r="JK7" s="415"/>
      <c r="JL7" s="415"/>
      <c r="JM7" s="415"/>
      <c r="JN7" s="415"/>
      <c r="JO7" s="415"/>
      <c r="JP7" s="415"/>
      <c r="JQ7" s="415"/>
      <c r="JR7" s="415"/>
      <c r="JS7" s="415"/>
      <c r="JT7" s="415"/>
      <c r="JU7" s="415"/>
      <c r="JV7" s="415"/>
      <c r="JW7" s="415"/>
      <c r="JX7" s="415"/>
      <c r="JY7" s="415"/>
      <c r="JZ7" s="415"/>
      <c r="KA7" s="415"/>
      <c r="KB7" s="415"/>
      <c r="KC7" s="415"/>
      <c r="KD7" s="415"/>
      <c r="KE7" s="415"/>
      <c r="KF7" s="415"/>
      <c r="KG7" s="415"/>
      <c r="KH7" s="415"/>
      <c r="KI7" s="415"/>
      <c r="KJ7" s="415"/>
      <c r="KK7" s="415"/>
      <c r="KL7" s="415"/>
      <c r="KM7" s="415"/>
      <c r="KN7" s="415"/>
      <c r="KO7" s="415"/>
      <c r="KP7" s="415"/>
      <c r="KQ7" s="415"/>
      <c r="KR7" s="415"/>
      <c r="KS7" s="415"/>
      <c r="KT7" s="415"/>
      <c r="KU7" s="415"/>
      <c r="KV7" s="415"/>
      <c r="KW7" s="415"/>
      <c r="KX7" s="415"/>
      <c r="KY7" s="415"/>
      <c r="KZ7" s="415"/>
      <c r="LA7" s="415"/>
      <c r="LB7" s="415"/>
      <c r="LC7" s="415"/>
      <c r="LD7" s="415"/>
      <c r="LE7" s="415"/>
      <c r="LF7" s="415"/>
      <c r="LG7" s="415"/>
      <c r="LH7" s="415"/>
      <c r="LI7" s="415"/>
      <c r="LJ7" s="415"/>
      <c r="LK7" s="415"/>
      <c r="LL7" s="415"/>
      <c r="LM7" s="415"/>
      <c r="LN7" s="415"/>
      <c r="LO7" s="415"/>
      <c r="LP7" s="415"/>
      <c r="LQ7" s="415"/>
      <c r="LR7" s="415"/>
      <c r="LS7" s="415"/>
      <c r="LT7" s="415"/>
      <c r="LU7" s="415"/>
      <c r="LV7" s="415"/>
      <c r="LW7" s="415"/>
      <c r="LX7" s="415"/>
      <c r="LY7" s="415"/>
      <c r="LZ7" s="415"/>
      <c r="MA7" s="415"/>
      <c r="MB7" s="415"/>
      <c r="MC7" s="415"/>
      <c r="MD7" s="415"/>
      <c r="ME7" s="415"/>
      <c r="MF7" s="415"/>
      <c r="MG7" s="415"/>
      <c r="MH7" s="415"/>
      <c r="MI7" s="415"/>
      <c r="MJ7" s="415"/>
      <c r="MK7" s="415"/>
      <c r="ML7" s="415"/>
      <c r="MM7" s="415"/>
      <c r="MN7" s="415"/>
      <c r="MO7" s="415"/>
      <c r="MP7" s="415"/>
      <c r="MQ7" s="415"/>
      <c r="MR7" s="415"/>
      <c r="MS7" s="415"/>
      <c r="MT7" s="415"/>
      <c r="MU7" s="415"/>
      <c r="MV7" s="415"/>
      <c r="MW7" s="415"/>
      <c r="MX7" s="415"/>
      <c r="MY7" s="415"/>
      <c r="MZ7" s="415"/>
      <c r="NA7" s="415"/>
      <c r="NB7" s="415"/>
      <c r="NC7" s="415"/>
      <c r="ND7" s="415"/>
      <c r="NE7" s="415"/>
      <c r="NF7" s="415"/>
      <c r="NG7" s="415"/>
      <c r="NH7" s="415"/>
      <c r="NI7" s="415"/>
      <c r="NJ7" s="415"/>
      <c r="NK7" s="415"/>
      <c r="NL7" s="415"/>
      <c r="NM7" s="415"/>
      <c r="NN7" s="415"/>
      <c r="NO7" s="415"/>
      <c r="NP7" s="415"/>
      <c r="NQ7" s="415"/>
      <c r="NR7" s="415"/>
      <c r="NS7" s="415"/>
      <c r="NT7" s="415"/>
      <c r="NU7" s="415"/>
      <c r="NV7" s="415"/>
      <c r="NW7" s="415"/>
      <c r="NX7" s="415"/>
      <c r="NY7" s="415"/>
      <c r="NZ7" s="415"/>
      <c r="OA7" s="415"/>
      <c r="OB7" s="415"/>
      <c r="OC7" s="415"/>
      <c r="OD7" s="415"/>
      <c r="OE7" s="415"/>
      <c r="OF7" s="415"/>
      <c r="OG7" s="415"/>
      <c r="OH7" s="415"/>
      <c r="OI7" s="415"/>
      <c r="OJ7" s="415"/>
      <c r="OK7" s="415"/>
      <c r="OL7" s="415"/>
      <c r="OM7" s="415"/>
      <c r="ON7" s="415"/>
      <c r="OO7" s="415"/>
      <c r="OP7" s="415"/>
      <c r="OQ7" s="415"/>
      <c r="OR7" s="415"/>
      <c r="OS7" s="415"/>
      <c r="OT7" s="415"/>
      <c r="OU7" s="415"/>
      <c r="OV7" s="415"/>
      <c r="OW7" s="415"/>
      <c r="OX7" s="415"/>
      <c r="OY7" s="415"/>
      <c r="OZ7" s="415"/>
      <c r="PA7" s="415"/>
      <c r="PB7" s="415"/>
      <c r="PC7" s="415"/>
      <c r="PD7" s="415"/>
      <c r="PE7" s="415"/>
      <c r="PF7" s="415"/>
      <c r="PG7" s="415"/>
      <c r="PH7" s="415"/>
      <c r="PI7" s="415"/>
      <c r="PJ7" s="415"/>
      <c r="PK7" s="415"/>
      <c r="PL7" s="415"/>
      <c r="PM7" s="415"/>
      <c r="PN7" s="415"/>
      <c r="PO7" s="415"/>
      <c r="PP7" s="415"/>
      <c r="PQ7" s="415"/>
      <c r="PR7" s="415"/>
      <c r="PS7" s="415"/>
      <c r="PT7" s="415"/>
      <c r="PU7" s="415"/>
      <c r="PV7" s="415"/>
      <c r="PW7" s="415"/>
      <c r="PX7" s="415"/>
      <c r="PY7" s="415"/>
      <c r="PZ7" s="415"/>
      <c r="QA7" s="415"/>
      <c r="QB7" s="415"/>
      <c r="QC7" s="415"/>
      <c r="QD7" s="415"/>
      <c r="QE7" s="415"/>
      <c r="QF7" s="415"/>
      <c r="QG7" s="415"/>
      <c r="QH7" s="415"/>
      <c r="QI7" s="415"/>
      <c r="QJ7" s="415"/>
      <c r="QK7" s="415"/>
      <c r="QL7" s="415"/>
      <c r="QM7" s="415"/>
      <c r="QN7" s="415"/>
      <c r="QO7" s="415"/>
      <c r="QP7" s="415"/>
      <c r="QQ7" s="415"/>
      <c r="QR7" s="415"/>
      <c r="QS7" s="415"/>
      <c r="QT7" s="415"/>
      <c r="QU7" s="415"/>
      <c r="QV7" s="415"/>
      <c r="QW7" s="415"/>
      <c r="QX7" s="415"/>
      <c r="QY7" s="415"/>
      <c r="QZ7" s="415"/>
      <c r="RA7" s="415"/>
      <c r="RB7" s="415"/>
      <c r="RC7" s="415"/>
      <c r="RD7" s="415"/>
      <c r="RE7" s="415"/>
      <c r="RF7" s="415"/>
      <c r="RG7" s="415"/>
      <c r="RH7" s="415"/>
      <c r="RI7" s="415"/>
      <c r="RJ7" s="415"/>
      <c r="RK7" s="415"/>
      <c r="RL7" s="415"/>
      <c r="RM7" s="415"/>
      <c r="RN7" s="415"/>
      <c r="RO7" s="415"/>
      <c r="RP7" s="415"/>
      <c r="RQ7" s="415"/>
      <c r="RR7" s="415"/>
      <c r="RS7" s="415"/>
      <c r="RT7" s="415"/>
      <c r="RU7" s="415"/>
      <c r="RV7" s="415"/>
      <c r="RW7" s="415"/>
      <c r="RX7" s="415"/>
      <c r="RY7" s="415"/>
      <c r="RZ7" s="415"/>
      <c r="SA7" s="415"/>
      <c r="SB7" s="415"/>
      <c r="SC7" s="415"/>
      <c r="SD7" s="415"/>
      <c r="SE7" s="415"/>
      <c r="SF7" s="415"/>
      <c r="SG7" s="415"/>
      <c r="SH7" s="415"/>
      <c r="SI7" s="415"/>
      <c r="SJ7" s="415"/>
      <c r="SK7" s="415"/>
      <c r="SL7" s="415"/>
    </row>
    <row r="8" spans="1:506" s="39" customFormat="1" ht="14.95" customHeight="1" thickBot="1" x14ac:dyDescent="0.35">
      <c r="A8" s="529" t="s">
        <v>267</v>
      </c>
      <c r="B8" s="530" t="s">
        <v>268</v>
      </c>
      <c r="C8" s="530" t="s">
        <v>0</v>
      </c>
      <c r="D8" s="530" t="s">
        <v>153</v>
      </c>
      <c r="E8" s="531" t="s">
        <v>8</v>
      </c>
      <c r="F8" s="531">
        <v>43</v>
      </c>
      <c r="G8" s="531">
        <v>33</v>
      </c>
      <c r="H8" s="601" t="s">
        <v>42</v>
      </c>
      <c r="I8" s="601" t="s">
        <v>42</v>
      </c>
      <c r="J8" s="601">
        <v>6</v>
      </c>
      <c r="K8" s="601">
        <v>5</v>
      </c>
      <c r="L8" s="601">
        <v>0</v>
      </c>
      <c r="M8" s="601">
        <v>1</v>
      </c>
      <c r="N8" s="601">
        <v>0</v>
      </c>
      <c r="O8" s="601">
        <v>0</v>
      </c>
      <c r="P8" s="601" t="s">
        <v>42</v>
      </c>
      <c r="Q8" s="601" t="s">
        <v>42</v>
      </c>
      <c r="R8" s="601">
        <v>5</v>
      </c>
      <c r="S8" s="539" t="s">
        <v>269</v>
      </c>
      <c r="T8" s="532" t="s">
        <v>289</v>
      </c>
      <c r="U8" s="533" t="s">
        <v>50</v>
      </c>
      <c r="V8" s="562" t="s">
        <v>444</v>
      </c>
      <c r="W8" s="534" t="s">
        <v>290</v>
      </c>
      <c r="X8" s="535">
        <v>1</v>
      </c>
      <c r="Y8" s="535">
        <v>1</v>
      </c>
      <c r="Z8" s="535">
        <v>0</v>
      </c>
      <c r="AA8" s="536">
        <v>0</v>
      </c>
      <c r="AB8" s="535">
        <v>1</v>
      </c>
      <c r="AC8" s="535">
        <v>1</v>
      </c>
      <c r="AD8" s="535">
        <v>0</v>
      </c>
      <c r="AE8" s="536">
        <v>0</v>
      </c>
      <c r="AF8" s="535">
        <v>0</v>
      </c>
      <c r="AG8" s="535">
        <v>0</v>
      </c>
      <c r="AH8" s="535">
        <v>0</v>
      </c>
      <c r="AI8" s="537">
        <v>0</v>
      </c>
      <c r="AJ8" s="535">
        <v>0</v>
      </c>
      <c r="AK8" s="535">
        <v>0</v>
      </c>
      <c r="AL8" s="535">
        <v>0</v>
      </c>
      <c r="AM8" s="537">
        <v>0</v>
      </c>
      <c r="AN8" s="415"/>
      <c r="AO8" s="373" t="s">
        <v>194</v>
      </c>
      <c r="AP8" s="437">
        <f>saracensPWRhistptsaga</f>
        <v>2583</v>
      </c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415"/>
      <c r="BE8" s="415"/>
      <c r="BF8" s="415"/>
      <c r="BG8" s="415"/>
      <c r="BH8" s="415"/>
      <c r="BI8" s="415"/>
      <c r="BJ8" s="415"/>
      <c r="BK8" s="415"/>
      <c r="BL8" s="415"/>
      <c r="BM8" s="415"/>
      <c r="BN8" s="415"/>
      <c r="BO8" s="415"/>
      <c r="BP8" s="415"/>
      <c r="BQ8" s="415"/>
      <c r="BR8" s="415"/>
      <c r="BS8" s="415"/>
      <c r="BT8" s="415"/>
      <c r="BU8" s="415"/>
      <c r="BV8" s="415"/>
      <c r="BW8" s="415"/>
      <c r="BX8" s="415"/>
      <c r="BY8" s="415"/>
      <c r="BZ8" s="415"/>
      <c r="CA8" s="415"/>
      <c r="CB8" s="415"/>
      <c r="CC8" s="415"/>
      <c r="CD8" s="415"/>
      <c r="CE8" s="415"/>
      <c r="CF8" s="415"/>
      <c r="CG8" s="415"/>
      <c r="CH8" s="415"/>
      <c r="CI8" s="415"/>
      <c r="CJ8" s="415"/>
      <c r="CK8" s="415"/>
      <c r="CL8" s="415"/>
      <c r="CM8" s="415"/>
      <c r="CN8" s="415"/>
      <c r="CO8" s="415"/>
      <c r="CP8" s="415"/>
      <c r="CQ8" s="415"/>
      <c r="CR8" s="415"/>
      <c r="CS8" s="415"/>
      <c r="CT8" s="415"/>
      <c r="CU8" s="415"/>
      <c r="CV8" s="415"/>
      <c r="CW8" s="415"/>
      <c r="CX8" s="415"/>
      <c r="CY8" s="415"/>
      <c r="CZ8" s="415"/>
      <c r="DA8" s="415"/>
      <c r="DB8" s="415"/>
      <c r="DC8" s="415"/>
      <c r="DD8" s="415"/>
      <c r="DE8" s="415"/>
      <c r="DF8" s="415"/>
      <c r="DG8" s="415"/>
      <c r="DH8" s="415"/>
      <c r="DI8" s="415"/>
      <c r="DJ8" s="415"/>
      <c r="DK8" s="415"/>
      <c r="DL8" s="415"/>
      <c r="DM8" s="415"/>
      <c r="DN8" s="415"/>
      <c r="DO8" s="415"/>
      <c r="DP8" s="415"/>
      <c r="DQ8" s="415"/>
      <c r="DR8" s="415"/>
      <c r="DS8" s="415"/>
      <c r="DT8" s="415"/>
      <c r="DU8" s="415"/>
      <c r="DV8" s="415"/>
      <c r="DW8" s="415"/>
      <c r="DX8" s="415"/>
      <c r="DY8" s="415"/>
      <c r="DZ8" s="415"/>
      <c r="EA8" s="415"/>
      <c r="EB8" s="415"/>
      <c r="EC8" s="415"/>
      <c r="ED8" s="415"/>
      <c r="EE8" s="415"/>
      <c r="EF8" s="415"/>
      <c r="EG8" s="415"/>
      <c r="EH8" s="415"/>
      <c r="EI8" s="415"/>
      <c r="EJ8" s="415"/>
      <c r="EK8" s="415"/>
      <c r="EL8" s="415"/>
      <c r="EM8" s="415"/>
      <c r="EN8" s="415"/>
      <c r="EO8" s="415"/>
      <c r="EP8" s="415"/>
      <c r="EQ8" s="415"/>
      <c r="ER8" s="415"/>
      <c r="ES8" s="415"/>
      <c r="ET8" s="415"/>
      <c r="EU8" s="415"/>
      <c r="EV8" s="415"/>
      <c r="EW8" s="415"/>
      <c r="EX8" s="415"/>
      <c r="EY8" s="415"/>
      <c r="EZ8" s="415"/>
      <c r="FA8" s="415"/>
      <c r="FB8" s="415"/>
      <c r="FC8" s="415"/>
      <c r="FD8" s="415"/>
      <c r="FE8" s="415"/>
      <c r="FF8" s="415"/>
      <c r="FG8" s="415"/>
      <c r="FH8" s="415"/>
      <c r="FI8" s="415"/>
      <c r="FJ8" s="415"/>
      <c r="FK8" s="415"/>
      <c r="FL8" s="415"/>
      <c r="FM8" s="415"/>
      <c r="FN8" s="415"/>
      <c r="FO8" s="415"/>
      <c r="FP8" s="415"/>
      <c r="FQ8" s="415"/>
      <c r="FR8" s="415"/>
      <c r="FS8" s="415"/>
      <c r="FT8" s="415"/>
      <c r="FU8" s="415"/>
      <c r="FV8" s="415"/>
      <c r="FW8" s="415"/>
      <c r="FX8" s="415"/>
      <c r="FY8" s="415"/>
      <c r="FZ8" s="415"/>
      <c r="GA8" s="415"/>
      <c r="GB8" s="415"/>
      <c r="GC8" s="415"/>
      <c r="GD8" s="415"/>
      <c r="GE8" s="415"/>
      <c r="GF8" s="415"/>
      <c r="GG8" s="415"/>
      <c r="GH8" s="415"/>
      <c r="GI8" s="415"/>
      <c r="GJ8" s="415"/>
      <c r="GK8" s="415"/>
      <c r="GL8" s="415"/>
      <c r="GM8" s="415"/>
      <c r="GN8" s="415"/>
      <c r="GO8" s="415"/>
      <c r="GP8" s="415"/>
      <c r="GQ8" s="415"/>
      <c r="GR8" s="415"/>
      <c r="GS8" s="415"/>
      <c r="GT8" s="415"/>
      <c r="GU8" s="415"/>
      <c r="GV8" s="415"/>
      <c r="GW8" s="415"/>
      <c r="GX8" s="415"/>
      <c r="GY8" s="415"/>
      <c r="GZ8" s="415"/>
      <c r="HA8" s="415"/>
      <c r="HB8" s="415"/>
      <c r="HC8" s="415"/>
      <c r="HD8" s="415"/>
      <c r="HE8" s="415"/>
      <c r="HF8" s="415"/>
      <c r="HG8" s="415"/>
      <c r="HH8" s="415"/>
      <c r="HI8" s="415"/>
      <c r="HJ8" s="415"/>
      <c r="HK8" s="415"/>
      <c r="HL8" s="415"/>
      <c r="HM8" s="415"/>
      <c r="HN8" s="415"/>
      <c r="HO8" s="415"/>
      <c r="HP8" s="415"/>
      <c r="HQ8" s="415"/>
      <c r="HR8" s="415"/>
      <c r="HS8" s="415"/>
      <c r="HT8" s="415"/>
      <c r="HU8" s="415"/>
      <c r="HV8" s="415"/>
      <c r="HW8" s="415"/>
      <c r="HX8" s="415"/>
      <c r="HY8" s="415"/>
      <c r="HZ8" s="415"/>
      <c r="IA8" s="415"/>
      <c r="IB8" s="415"/>
      <c r="IC8" s="415"/>
      <c r="ID8" s="415"/>
      <c r="IE8" s="415"/>
      <c r="IF8" s="415"/>
      <c r="IG8" s="415"/>
      <c r="IH8" s="415"/>
      <c r="II8" s="415"/>
      <c r="IJ8" s="415"/>
      <c r="IK8" s="415"/>
      <c r="IL8" s="415"/>
      <c r="IM8" s="415"/>
      <c r="IN8" s="415"/>
      <c r="IO8" s="415"/>
      <c r="IP8" s="415"/>
      <c r="IQ8" s="415"/>
      <c r="IR8" s="415"/>
      <c r="IS8" s="415"/>
      <c r="IT8" s="415"/>
      <c r="IU8" s="415"/>
      <c r="IV8" s="415"/>
      <c r="IW8" s="415"/>
      <c r="IX8" s="415"/>
      <c r="IY8" s="415"/>
      <c r="IZ8" s="415"/>
      <c r="JA8" s="415"/>
      <c r="JB8" s="415"/>
      <c r="JC8" s="415"/>
      <c r="JD8" s="415"/>
      <c r="JE8" s="415"/>
      <c r="JF8" s="415"/>
      <c r="JG8" s="415"/>
      <c r="JH8" s="415"/>
      <c r="JI8" s="415"/>
      <c r="JJ8" s="415"/>
      <c r="JK8" s="415"/>
      <c r="JL8" s="415"/>
      <c r="JM8" s="415"/>
      <c r="JN8" s="415"/>
      <c r="JO8" s="415"/>
      <c r="JP8" s="415"/>
      <c r="JQ8" s="415"/>
      <c r="JR8" s="415"/>
      <c r="JS8" s="415"/>
      <c r="JT8" s="415"/>
      <c r="JU8" s="415"/>
      <c r="JV8" s="415"/>
      <c r="JW8" s="415"/>
      <c r="JX8" s="415"/>
      <c r="JY8" s="415"/>
      <c r="JZ8" s="415"/>
      <c r="KA8" s="415"/>
      <c r="KB8" s="415"/>
      <c r="KC8" s="415"/>
      <c r="KD8" s="415"/>
      <c r="KE8" s="415"/>
      <c r="KF8" s="415"/>
      <c r="KG8" s="415"/>
      <c r="KH8" s="415"/>
      <c r="KI8" s="415"/>
      <c r="KJ8" s="415"/>
      <c r="KK8" s="415"/>
      <c r="KL8" s="415"/>
      <c r="KM8" s="415"/>
      <c r="KN8" s="415"/>
      <c r="KO8" s="415"/>
      <c r="KP8" s="415"/>
      <c r="KQ8" s="415"/>
      <c r="KR8" s="415"/>
      <c r="KS8" s="415"/>
      <c r="KT8" s="415"/>
      <c r="KU8" s="415"/>
      <c r="KV8" s="415"/>
      <c r="KW8" s="415"/>
      <c r="KX8" s="415"/>
      <c r="KY8" s="415"/>
      <c r="KZ8" s="415"/>
      <c r="LA8" s="415"/>
      <c r="LB8" s="415"/>
      <c r="LC8" s="415"/>
      <c r="LD8" s="415"/>
      <c r="LE8" s="415"/>
      <c r="LF8" s="415"/>
      <c r="LG8" s="415"/>
      <c r="LH8" s="415"/>
      <c r="LI8" s="415"/>
      <c r="LJ8" s="415"/>
      <c r="LK8" s="415"/>
      <c r="LL8" s="415"/>
      <c r="LM8" s="415"/>
      <c r="LN8" s="415"/>
      <c r="LO8" s="415"/>
      <c r="LP8" s="415"/>
      <c r="LQ8" s="415"/>
      <c r="LR8" s="415"/>
      <c r="LS8" s="415"/>
      <c r="LT8" s="415"/>
      <c r="LU8" s="415"/>
      <c r="LV8" s="415"/>
      <c r="LW8" s="415"/>
      <c r="LX8" s="415"/>
      <c r="LY8" s="415"/>
      <c r="LZ8" s="415"/>
      <c r="MA8" s="415"/>
      <c r="MB8" s="415"/>
      <c r="MC8" s="415"/>
      <c r="MD8" s="415"/>
      <c r="ME8" s="415"/>
      <c r="MF8" s="415"/>
      <c r="MG8" s="415"/>
      <c r="MH8" s="415"/>
      <c r="MI8" s="415"/>
      <c r="MJ8" s="415"/>
      <c r="MK8" s="415"/>
      <c r="ML8" s="415"/>
      <c r="MM8" s="415"/>
      <c r="MN8" s="415"/>
      <c r="MO8" s="415"/>
      <c r="MP8" s="415"/>
      <c r="MQ8" s="415"/>
      <c r="MR8" s="415"/>
      <c r="MS8" s="415"/>
      <c r="MT8" s="415"/>
      <c r="MU8" s="415"/>
      <c r="MV8" s="415"/>
      <c r="MW8" s="415"/>
      <c r="MX8" s="415"/>
      <c r="MY8" s="415"/>
      <c r="MZ8" s="415"/>
      <c r="NA8" s="415"/>
      <c r="NB8" s="415"/>
      <c r="NC8" s="415"/>
      <c r="ND8" s="415"/>
      <c r="NE8" s="415"/>
      <c r="NF8" s="415"/>
      <c r="NG8" s="415"/>
      <c r="NH8" s="415"/>
      <c r="NI8" s="415"/>
      <c r="NJ8" s="415"/>
      <c r="NK8" s="415"/>
      <c r="NL8" s="415"/>
      <c r="NM8" s="415"/>
      <c r="NN8" s="415"/>
      <c r="NO8" s="415"/>
      <c r="NP8" s="415"/>
      <c r="NQ8" s="415"/>
      <c r="NR8" s="415"/>
      <c r="NS8" s="415"/>
      <c r="NT8" s="415"/>
      <c r="NU8" s="415"/>
      <c r="NV8" s="415"/>
      <c r="NW8" s="415"/>
      <c r="NX8" s="415"/>
      <c r="NY8" s="415"/>
      <c r="NZ8" s="415"/>
      <c r="OA8" s="415"/>
      <c r="OB8" s="415"/>
      <c r="OC8" s="415"/>
      <c r="OD8" s="415"/>
      <c r="OE8" s="415"/>
      <c r="OF8" s="415"/>
      <c r="OG8" s="415"/>
      <c r="OH8" s="415"/>
      <c r="OI8" s="415"/>
      <c r="OJ8" s="415"/>
      <c r="OK8" s="415"/>
      <c r="OL8" s="415"/>
      <c r="OM8" s="415"/>
      <c r="ON8" s="415"/>
      <c r="OO8" s="415"/>
      <c r="OP8" s="415"/>
      <c r="OQ8" s="415"/>
      <c r="OR8" s="415"/>
      <c r="OS8" s="415"/>
      <c r="OT8" s="415"/>
      <c r="OU8" s="415"/>
      <c r="OV8" s="415"/>
      <c r="OW8" s="415"/>
      <c r="OX8" s="415"/>
      <c r="OY8" s="415"/>
      <c r="OZ8" s="415"/>
      <c r="PA8" s="415"/>
      <c r="PB8" s="415"/>
      <c r="PC8" s="415"/>
      <c r="PD8" s="415"/>
      <c r="PE8" s="415"/>
      <c r="PF8" s="415"/>
      <c r="PG8" s="415"/>
      <c r="PH8" s="415"/>
      <c r="PI8" s="415"/>
      <c r="PJ8" s="415"/>
      <c r="PK8" s="415"/>
      <c r="PL8" s="415"/>
      <c r="PM8" s="415"/>
      <c r="PN8" s="415"/>
      <c r="PO8" s="415"/>
      <c r="PP8" s="415"/>
      <c r="PQ8" s="415"/>
      <c r="PR8" s="415"/>
      <c r="PS8" s="415"/>
      <c r="PT8" s="415"/>
      <c r="PU8" s="415"/>
      <c r="PV8" s="415"/>
      <c r="PW8" s="415"/>
      <c r="PX8" s="415"/>
      <c r="PY8" s="415"/>
      <c r="PZ8" s="415"/>
      <c r="QA8" s="415"/>
      <c r="QB8" s="415"/>
      <c r="QC8" s="415"/>
      <c r="QD8" s="415"/>
      <c r="QE8" s="415"/>
      <c r="QF8" s="415"/>
      <c r="QG8" s="415"/>
      <c r="QH8" s="415"/>
      <c r="QI8" s="415"/>
      <c r="QJ8" s="415"/>
      <c r="QK8" s="415"/>
      <c r="QL8" s="415"/>
      <c r="QM8" s="415"/>
      <c r="QN8" s="415"/>
      <c r="QO8" s="415"/>
      <c r="QP8" s="415"/>
      <c r="QQ8" s="415"/>
      <c r="QR8" s="415"/>
      <c r="QS8" s="415"/>
      <c r="QT8" s="415"/>
      <c r="QU8" s="415"/>
      <c r="QV8" s="415"/>
      <c r="QW8" s="415"/>
      <c r="QX8" s="415"/>
      <c r="QY8" s="415"/>
      <c r="QZ8" s="415"/>
      <c r="RA8" s="415"/>
      <c r="RB8" s="415"/>
      <c r="RC8" s="415"/>
      <c r="RD8" s="415"/>
      <c r="RE8" s="415"/>
      <c r="RF8" s="415"/>
      <c r="RG8" s="415"/>
      <c r="RH8" s="415"/>
      <c r="RI8" s="415"/>
      <c r="RJ8" s="415"/>
      <c r="RK8" s="415"/>
      <c r="RL8" s="415"/>
      <c r="RM8" s="415"/>
      <c r="RN8" s="415"/>
      <c r="RO8" s="415"/>
      <c r="RP8" s="415"/>
      <c r="RQ8" s="415"/>
      <c r="RR8" s="415"/>
      <c r="RS8" s="415"/>
      <c r="RT8" s="415"/>
      <c r="RU8" s="415"/>
      <c r="RV8" s="415"/>
      <c r="RW8" s="415"/>
      <c r="RX8" s="415"/>
      <c r="RY8" s="415"/>
      <c r="RZ8" s="415"/>
      <c r="SA8" s="415"/>
      <c r="SB8" s="415"/>
      <c r="SC8" s="415"/>
      <c r="SD8" s="415"/>
      <c r="SE8" s="415"/>
      <c r="SF8" s="415"/>
      <c r="SG8" s="415"/>
      <c r="SH8" s="415"/>
      <c r="SI8" s="415"/>
      <c r="SJ8" s="415"/>
      <c r="SK8" s="415"/>
      <c r="SL8" s="415"/>
    </row>
    <row r="9" spans="1:506" s="38" customFormat="1" ht="14.95" customHeight="1" thickBot="1" x14ac:dyDescent="0.3">
      <c r="A9" s="485" t="s">
        <v>156</v>
      </c>
      <c r="B9" s="147" t="s">
        <v>73</v>
      </c>
      <c r="C9" s="147" t="s">
        <v>63</v>
      </c>
      <c r="D9" s="148" t="s">
        <v>12</v>
      </c>
      <c r="E9" s="148" t="s">
        <v>10</v>
      </c>
      <c r="F9" s="148">
        <v>14</v>
      </c>
      <c r="G9" s="148">
        <v>40</v>
      </c>
      <c r="H9" s="453">
        <v>0</v>
      </c>
      <c r="I9" s="453">
        <v>0</v>
      </c>
      <c r="J9" s="453">
        <v>2</v>
      </c>
      <c r="K9" s="453">
        <v>2</v>
      </c>
      <c r="L9" s="453">
        <v>0</v>
      </c>
      <c r="M9" s="453">
        <v>0</v>
      </c>
      <c r="N9" s="453">
        <v>0</v>
      </c>
      <c r="O9" s="453">
        <v>0</v>
      </c>
      <c r="P9" s="453">
        <v>1</v>
      </c>
      <c r="Q9" s="453">
        <v>0</v>
      </c>
      <c r="R9" s="453">
        <v>6</v>
      </c>
      <c r="S9" s="163" t="s">
        <v>305</v>
      </c>
      <c r="T9" s="149" t="s">
        <v>296</v>
      </c>
      <c r="U9" s="150" t="s">
        <v>297</v>
      </c>
      <c r="V9" s="164" t="s">
        <v>285</v>
      </c>
      <c r="W9" s="151" t="s">
        <v>298</v>
      </c>
      <c r="X9" s="486">
        <v>1</v>
      </c>
      <c r="Y9" s="486">
        <v>0</v>
      </c>
      <c r="Z9" s="486">
        <v>0</v>
      </c>
      <c r="AA9" s="487">
        <v>1</v>
      </c>
      <c r="AB9" s="486">
        <v>0</v>
      </c>
      <c r="AC9" s="486">
        <v>0</v>
      </c>
      <c r="AD9" s="486">
        <v>0</v>
      </c>
      <c r="AE9" s="487">
        <v>0</v>
      </c>
      <c r="AF9" s="486">
        <v>1</v>
      </c>
      <c r="AG9" s="486">
        <v>0</v>
      </c>
      <c r="AH9" s="486">
        <v>0</v>
      </c>
      <c r="AI9" s="488">
        <v>1</v>
      </c>
      <c r="AJ9" s="486">
        <v>0</v>
      </c>
      <c r="AK9" s="486">
        <v>0</v>
      </c>
      <c r="AL9" s="486">
        <v>0</v>
      </c>
      <c r="AM9" s="488">
        <v>0</v>
      </c>
      <c r="AN9" s="416"/>
      <c r="AO9" s="416"/>
      <c r="AP9" s="416"/>
      <c r="AQ9" s="416"/>
      <c r="AR9" s="416"/>
      <c r="AS9" s="416"/>
      <c r="AT9" s="416"/>
      <c r="AU9" s="416"/>
      <c r="AV9" s="416"/>
      <c r="AW9" s="416"/>
      <c r="AX9" s="416"/>
      <c r="AY9" s="416"/>
      <c r="AZ9" s="416"/>
      <c r="BA9" s="416"/>
      <c r="BB9" s="416"/>
      <c r="BC9" s="416"/>
      <c r="BD9" s="416"/>
      <c r="BE9" s="416"/>
      <c r="BF9" s="416"/>
      <c r="BG9" s="416"/>
      <c r="BH9" s="416"/>
      <c r="BI9" s="416"/>
      <c r="BJ9" s="416"/>
      <c r="BK9" s="416"/>
      <c r="BL9" s="416"/>
      <c r="BM9" s="416"/>
      <c r="BN9" s="416"/>
      <c r="BO9" s="416"/>
      <c r="BP9" s="416"/>
      <c r="BQ9" s="416"/>
      <c r="BR9" s="416"/>
      <c r="BS9" s="416"/>
      <c r="BT9" s="416"/>
      <c r="BU9" s="416"/>
      <c r="BV9" s="416"/>
      <c r="BW9" s="416"/>
      <c r="BX9" s="416"/>
      <c r="BY9" s="416"/>
      <c r="BZ9" s="416"/>
      <c r="CA9" s="416"/>
      <c r="CB9" s="416"/>
      <c r="CC9" s="416"/>
      <c r="CD9" s="416"/>
      <c r="CE9" s="416"/>
      <c r="CF9" s="416"/>
      <c r="CG9" s="416"/>
      <c r="CH9" s="416"/>
      <c r="CI9" s="416"/>
      <c r="CJ9" s="416"/>
      <c r="CK9" s="416"/>
      <c r="CL9" s="416"/>
      <c r="CM9" s="416"/>
      <c r="CN9" s="416"/>
      <c r="CO9" s="416"/>
      <c r="CP9" s="416"/>
      <c r="CQ9" s="416"/>
      <c r="CR9" s="416"/>
      <c r="CS9" s="416"/>
      <c r="CT9" s="416"/>
      <c r="CU9" s="416"/>
      <c r="CV9" s="416"/>
      <c r="CW9" s="416"/>
      <c r="CX9" s="416"/>
      <c r="CY9" s="416"/>
      <c r="CZ9" s="416"/>
      <c r="DA9" s="416"/>
      <c r="DB9" s="416"/>
      <c r="DC9" s="416"/>
      <c r="DD9" s="416"/>
      <c r="DE9" s="416"/>
      <c r="DF9" s="416"/>
      <c r="DG9" s="416"/>
      <c r="DH9" s="416"/>
      <c r="DI9" s="416"/>
      <c r="DJ9" s="416"/>
      <c r="DK9" s="416"/>
      <c r="DL9" s="416"/>
      <c r="DM9" s="416"/>
      <c r="DN9" s="416"/>
      <c r="DO9" s="416"/>
      <c r="DP9" s="416"/>
      <c r="DQ9" s="416"/>
      <c r="DR9" s="416"/>
      <c r="DS9" s="416"/>
      <c r="DT9" s="416"/>
      <c r="DU9" s="416"/>
      <c r="DV9" s="416"/>
      <c r="DW9" s="416"/>
      <c r="DX9" s="416"/>
      <c r="DY9" s="416"/>
      <c r="DZ9" s="416"/>
      <c r="EA9" s="416"/>
      <c r="EB9" s="416"/>
      <c r="EC9" s="416"/>
      <c r="ED9" s="416"/>
      <c r="EE9" s="416"/>
      <c r="EF9" s="416"/>
      <c r="EG9" s="416"/>
      <c r="EH9" s="416"/>
      <c r="EI9" s="416"/>
      <c r="EJ9" s="416"/>
      <c r="EK9" s="416"/>
      <c r="EL9" s="416"/>
      <c r="EM9" s="416"/>
      <c r="EN9" s="416"/>
      <c r="EO9" s="416"/>
      <c r="EP9" s="416"/>
      <c r="EQ9" s="416"/>
      <c r="ER9" s="416"/>
      <c r="ES9" s="416"/>
      <c r="ET9" s="416"/>
      <c r="EU9" s="416"/>
      <c r="EV9" s="416"/>
      <c r="EW9" s="416"/>
      <c r="EX9" s="416"/>
      <c r="EY9" s="416"/>
      <c r="EZ9" s="416"/>
      <c r="FA9" s="416"/>
      <c r="FB9" s="416"/>
      <c r="FC9" s="416"/>
      <c r="FD9" s="416"/>
      <c r="FE9" s="416"/>
      <c r="FF9" s="416"/>
      <c r="FG9" s="416"/>
      <c r="FH9" s="416"/>
      <c r="FI9" s="416"/>
      <c r="FJ9" s="416"/>
      <c r="FK9" s="416"/>
      <c r="FL9" s="416"/>
      <c r="FM9" s="416"/>
      <c r="FN9" s="416"/>
      <c r="FO9" s="416"/>
      <c r="FP9" s="416"/>
      <c r="FQ9" s="416"/>
      <c r="FR9" s="416"/>
      <c r="FS9" s="416"/>
      <c r="FT9" s="416"/>
      <c r="FU9" s="416"/>
      <c r="FV9" s="416"/>
      <c r="FW9" s="416"/>
      <c r="FX9" s="416"/>
      <c r="FY9" s="416"/>
      <c r="FZ9" s="416"/>
      <c r="GA9" s="416"/>
      <c r="GB9" s="416"/>
      <c r="GC9" s="416"/>
      <c r="GD9" s="416"/>
      <c r="GE9" s="416"/>
      <c r="GF9" s="416"/>
      <c r="GG9" s="416"/>
      <c r="GH9" s="416"/>
      <c r="GI9" s="416"/>
      <c r="GJ9" s="416"/>
      <c r="GK9" s="416"/>
      <c r="GL9" s="416"/>
      <c r="GM9" s="416"/>
      <c r="GN9" s="416"/>
      <c r="GO9" s="416"/>
      <c r="GP9" s="416"/>
      <c r="GQ9" s="416"/>
      <c r="GR9" s="416"/>
      <c r="GS9" s="416"/>
      <c r="GT9" s="416"/>
      <c r="GU9" s="416"/>
      <c r="GV9" s="416"/>
      <c r="GW9" s="416"/>
      <c r="GX9" s="416"/>
      <c r="GY9" s="416"/>
      <c r="GZ9" s="416"/>
      <c r="HA9" s="416"/>
      <c r="HB9" s="416"/>
      <c r="HC9" s="416"/>
      <c r="HD9" s="416"/>
      <c r="HE9" s="416"/>
      <c r="HF9" s="416"/>
      <c r="HG9" s="416"/>
      <c r="HH9" s="416"/>
      <c r="HI9" s="416"/>
      <c r="HJ9" s="416"/>
      <c r="HK9" s="416"/>
      <c r="HL9" s="416"/>
      <c r="HM9" s="416"/>
      <c r="HN9" s="416"/>
      <c r="HO9" s="416"/>
      <c r="HP9" s="416"/>
      <c r="HQ9" s="416"/>
      <c r="HR9" s="416"/>
      <c r="HS9" s="416"/>
      <c r="HT9" s="416"/>
      <c r="HU9" s="416"/>
      <c r="HV9" s="416"/>
      <c r="HW9" s="416"/>
      <c r="HX9" s="416"/>
      <c r="HY9" s="416"/>
      <c r="HZ9" s="416"/>
      <c r="IA9" s="416"/>
      <c r="IB9" s="416"/>
      <c r="IC9" s="416"/>
      <c r="ID9" s="416"/>
      <c r="IE9" s="416"/>
      <c r="IF9" s="416"/>
      <c r="IG9" s="416"/>
      <c r="IH9" s="416"/>
      <c r="II9" s="416"/>
      <c r="IJ9" s="416"/>
      <c r="IK9" s="416"/>
      <c r="IL9" s="416"/>
      <c r="IM9" s="416"/>
      <c r="IN9" s="416"/>
      <c r="IO9" s="416"/>
      <c r="IP9" s="416"/>
      <c r="IQ9" s="416"/>
      <c r="IR9" s="416"/>
      <c r="IS9" s="416"/>
      <c r="IT9" s="416"/>
      <c r="IU9" s="416"/>
      <c r="IV9" s="416"/>
      <c r="IW9" s="416"/>
      <c r="IX9" s="416"/>
      <c r="IY9" s="416"/>
      <c r="IZ9" s="416"/>
      <c r="JA9" s="416"/>
      <c r="JB9" s="416"/>
      <c r="JC9" s="416"/>
      <c r="JD9" s="416"/>
      <c r="JE9" s="416"/>
      <c r="JF9" s="416"/>
      <c r="JG9" s="416"/>
      <c r="JH9" s="416"/>
      <c r="JI9" s="416"/>
      <c r="JJ9" s="416"/>
      <c r="JK9" s="416"/>
      <c r="JL9" s="416"/>
      <c r="JM9" s="416"/>
      <c r="JN9" s="416"/>
      <c r="JO9" s="416"/>
      <c r="JP9" s="416"/>
      <c r="JQ9" s="416"/>
      <c r="JR9" s="416"/>
      <c r="JS9" s="416"/>
      <c r="JT9" s="416"/>
      <c r="JU9" s="416"/>
      <c r="JV9" s="416"/>
      <c r="JW9" s="416"/>
      <c r="JX9" s="416"/>
      <c r="JY9" s="416"/>
      <c r="JZ9" s="416"/>
      <c r="KA9" s="416"/>
      <c r="KB9" s="416"/>
      <c r="KC9" s="416"/>
      <c r="KD9" s="416"/>
      <c r="KE9" s="416"/>
      <c r="KF9" s="416"/>
      <c r="KG9" s="416"/>
      <c r="KH9" s="416"/>
      <c r="KI9" s="416"/>
      <c r="KJ9" s="416"/>
      <c r="KK9" s="416"/>
      <c r="KL9" s="416"/>
      <c r="KM9" s="416"/>
      <c r="KN9" s="416"/>
      <c r="KO9" s="416"/>
      <c r="KP9" s="416"/>
      <c r="KQ9" s="416"/>
      <c r="KR9" s="416"/>
      <c r="KS9" s="416"/>
      <c r="KT9" s="416"/>
      <c r="KU9" s="416"/>
      <c r="KV9" s="416"/>
      <c r="KW9" s="416"/>
      <c r="KX9" s="416"/>
      <c r="KY9" s="416"/>
      <c r="KZ9" s="416"/>
      <c r="LA9" s="416"/>
      <c r="LB9" s="416"/>
      <c r="LC9" s="416"/>
      <c r="LD9" s="416"/>
      <c r="LE9" s="416"/>
      <c r="LF9" s="416"/>
      <c r="LG9" s="416"/>
      <c r="LH9" s="416"/>
      <c r="LI9" s="416"/>
      <c r="LJ9" s="416"/>
      <c r="LK9" s="416"/>
      <c r="LL9" s="416"/>
      <c r="LM9" s="416"/>
      <c r="LN9" s="416"/>
      <c r="LO9" s="416"/>
      <c r="LP9" s="416"/>
      <c r="LQ9" s="416"/>
      <c r="LR9" s="416"/>
      <c r="LS9" s="416"/>
      <c r="LT9" s="416"/>
      <c r="LU9" s="416"/>
      <c r="LV9" s="416"/>
      <c r="LW9" s="416"/>
      <c r="LX9" s="416"/>
      <c r="LY9" s="416"/>
      <c r="LZ9" s="416"/>
      <c r="MA9" s="416"/>
      <c r="MB9" s="416"/>
      <c r="MC9" s="416"/>
      <c r="MD9" s="416"/>
      <c r="ME9" s="416"/>
      <c r="MF9" s="416"/>
      <c r="MG9" s="416"/>
      <c r="MH9" s="416"/>
      <c r="MI9" s="416"/>
      <c r="MJ9" s="416"/>
      <c r="MK9" s="416"/>
      <c r="ML9" s="416"/>
      <c r="MM9" s="416"/>
      <c r="MN9" s="416"/>
      <c r="MO9" s="416"/>
      <c r="MP9" s="416"/>
      <c r="MQ9" s="416"/>
      <c r="MR9" s="416"/>
      <c r="MS9" s="416"/>
      <c r="MT9" s="416"/>
      <c r="MU9" s="416"/>
      <c r="MV9" s="416"/>
      <c r="MW9" s="416"/>
      <c r="MX9" s="416"/>
      <c r="MY9" s="416"/>
      <c r="MZ9" s="416"/>
      <c r="NA9" s="416"/>
      <c r="NB9" s="416"/>
      <c r="NC9" s="416"/>
      <c r="ND9" s="416"/>
      <c r="NE9" s="416"/>
      <c r="NF9" s="416"/>
      <c r="NG9" s="416"/>
      <c r="NH9" s="416"/>
      <c r="NI9" s="416"/>
      <c r="NJ9" s="416"/>
      <c r="NK9" s="416"/>
      <c r="NL9" s="416"/>
      <c r="NM9" s="416"/>
      <c r="NN9" s="416"/>
      <c r="NO9" s="416"/>
      <c r="NP9" s="416"/>
      <c r="NQ9" s="416"/>
      <c r="NR9" s="416"/>
      <c r="NS9" s="416"/>
      <c r="NT9" s="416"/>
      <c r="NU9" s="416"/>
      <c r="NV9" s="416"/>
      <c r="NW9" s="416"/>
      <c r="NX9" s="416"/>
      <c r="NY9" s="416"/>
      <c r="NZ9" s="416"/>
      <c r="OA9" s="416"/>
      <c r="OB9" s="416"/>
      <c r="OC9" s="416"/>
      <c r="OD9" s="416"/>
      <c r="OE9" s="416"/>
      <c r="OF9" s="416"/>
      <c r="OG9" s="416"/>
      <c r="OH9" s="416"/>
      <c r="OI9" s="416"/>
      <c r="OJ9" s="416"/>
      <c r="OK9" s="416"/>
      <c r="OL9" s="416"/>
      <c r="OM9" s="416"/>
      <c r="ON9" s="416"/>
      <c r="OO9" s="416"/>
      <c r="OP9" s="416"/>
      <c r="OQ9" s="416"/>
      <c r="OR9" s="416"/>
      <c r="OS9" s="416"/>
      <c r="OT9" s="416"/>
      <c r="OU9" s="416"/>
      <c r="OV9" s="416"/>
      <c r="OW9" s="416"/>
      <c r="OX9" s="416"/>
      <c r="OY9" s="416"/>
      <c r="OZ9" s="416"/>
      <c r="PA9" s="416"/>
      <c r="PB9" s="416"/>
      <c r="PC9" s="416"/>
      <c r="PD9" s="416"/>
      <c r="PE9" s="416"/>
      <c r="PF9" s="416"/>
      <c r="PG9" s="416"/>
      <c r="PH9" s="416"/>
      <c r="PI9" s="416"/>
      <c r="PJ9" s="416"/>
      <c r="PK9" s="416"/>
      <c r="PL9" s="416"/>
      <c r="PM9" s="416"/>
      <c r="PN9" s="416"/>
      <c r="PO9" s="416"/>
      <c r="PP9" s="416"/>
      <c r="PQ9" s="416"/>
      <c r="PR9" s="416"/>
      <c r="PS9" s="416"/>
      <c r="PT9" s="416"/>
      <c r="PU9" s="416"/>
      <c r="PV9" s="416"/>
      <c r="PW9" s="416"/>
      <c r="PX9" s="416"/>
      <c r="PY9" s="416"/>
      <c r="PZ9" s="416"/>
      <c r="QA9" s="416"/>
      <c r="QB9" s="416"/>
      <c r="QC9" s="416"/>
      <c r="QD9" s="416"/>
      <c r="QE9" s="416"/>
      <c r="QF9" s="416"/>
      <c r="QG9" s="416"/>
      <c r="QH9" s="416"/>
      <c r="QI9" s="416"/>
      <c r="QJ9" s="416"/>
      <c r="QK9" s="416"/>
      <c r="QL9" s="416"/>
      <c r="QM9" s="416"/>
      <c r="QN9" s="416"/>
      <c r="QO9" s="416"/>
      <c r="QP9" s="416"/>
      <c r="QQ9" s="416"/>
      <c r="QR9" s="416"/>
      <c r="QS9" s="416"/>
      <c r="QT9" s="416"/>
      <c r="QU9" s="416"/>
      <c r="QV9" s="416"/>
      <c r="QW9" s="416"/>
      <c r="QX9" s="416"/>
      <c r="QY9" s="416"/>
      <c r="QZ9" s="416"/>
      <c r="RA9" s="416"/>
      <c r="RB9" s="416"/>
      <c r="RC9" s="416"/>
      <c r="RD9" s="416"/>
      <c r="RE9" s="416"/>
      <c r="RF9" s="416"/>
      <c r="RG9" s="416"/>
      <c r="RH9" s="416"/>
      <c r="RI9" s="416"/>
      <c r="RJ9" s="416"/>
      <c r="RK9" s="416"/>
      <c r="RL9" s="416"/>
      <c r="RM9" s="416"/>
      <c r="RN9" s="416"/>
      <c r="RO9" s="416"/>
      <c r="RP9" s="416"/>
      <c r="RQ9" s="416"/>
      <c r="RR9" s="416"/>
      <c r="RS9" s="416"/>
      <c r="RT9" s="416"/>
      <c r="RU9" s="416"/>
      <c r="RV9" s="416"/>
      <c r="RW9" s="416"/>
      <c r="RX9" s="416"/>
      <c r="RY9" s="416"/>
      <c r="RZ9" s="416"/>
      <c r="SA9" s="416"/>
      <c r="SB9" s="416"/>
      <c r="SC9" s="416"/>
      <c r="SD9" s="416"/>
      <c r="SE9" s="416"/>
      <c r="SF9" s="416"/>
      <c r="SG9" s="416"/>
      <c r="SH9" s="416"/>
      <c r="SI9" s="416"/>
      <c r="SJ9" s="416"/>
      <c r="SK9" s="416"/>
      <c r="SL9" s="416"/>
    </row>
    <row r="10" spans="1:506" s="39" customFormat="1" ht="14.95" customHeight="1" thickBot="1" x14ac:dyDescent="0.35">
      <c r="A10" s="489" t="s">
        <v>157</v>
      </c>
      <c r="B10" s="152" t="s">
        <v>73</v>
      </c>
      <c r="C10" s="152" t="s">
        <v>0</v>
      </c>
      <c r="D10" s="153" t="s">
        <v>153</v>
      </c>
      <c r="E10" s="153" t="s">
        <v>8</v>
      </c>
      <c r="F10" s="153">
        <v>47</v>
      </c>
      <c r="G10" s="153">
        <v>10</v>
      </c>
      <c r="H10" s="454">
        <v>1</v>
      </c>
      <c r="I10" s="454">
        <v>0</v>
      </c>
      <c r="J10" s="454">
        <v>7</v>
      </c>
      <c r="K10" s="454">
        <v>6</v>
      </c>
      <c r="L10" s="454">
        <v>0</v>
      </c>
      <c r="M10" s="454">
        <v>0</v>
      </c>
      <c r="N10" s="454">
        <v>0</v>
      </c>
      <c r="O10" s="454">
        <v>0</v>
      </c>
      <c r="P10" s="454">
        <v>0</v>
      </c>
      <c r="Q10" s="454">
        <v>0</v>
      </c>
      <c r="R10" s="454">
        <v>2</v>
      </c>
      <c r="S10" s="347" t="s">
        <v>363</v>
      </c>
      <c r="T10" s="338" t="s">
        <v>346</v>
      </c>
      <c r="U10" s="339" t="s">
        <v>347</v>
      </c>
      <c r="V10" s="158" t="s">
        <v>282</v>
      </c>
      <c r="W10" s="340" t="s">
        <v>348</v>
      </c>
      <c r="X10" s="490">
        <v>1</v>
      </c>
      <c r="Y10" s="490">
        <v>1</v>
      </c>
      <c r="Z10" s="490">
        <v>0</v>
      </c>
      <c r="AA10" s="491">
        <v>0</v>
      </c>
      <c r="AB10" s="490">
        <v>1</v>
      </c>
      <c r="AC10" s="490">
        <v>1</v>
      </c>
      <c r="AD10" s="490">
        <v>0</v>
      </c>
      <c r="AE10" s="491">
        <v>0</v>
      </c>
      <c r="AF10" s="490">
        <v>0</v>
      </c>
      <c r="AG10" s="490">
        <v>0</v>
      </c>
      <c r="AH10" s="490">
        <v>0</v>
      </c>
      <c r="AI10" s="492">
        <v>0</v>
      </c>
      <c r="AJ10" s="490">
        <v>0</v>
      </c>
      <c r="AK10" s="490">
        <v>0</v>
      </c>
      <c r="AL10" s="490">
        <v>0</v>
      </c>
      <c r="AM10" s="492">
        <v>0</v>
      </c>
      <c r="AN10" s="415"/>
      <c r="AO10" s="415"/>
      <c r="AP10" s="415"/>
      <c r="AQ10" s="415"/>
      <c r="AR10" s="415"/>
      <c r="AS10" s="415"/>
      <c r="AT10" s="415"/>
      <c r="AU10" s="415"/>
      <c r="AV10" s="415"/>
      <c r="AW10" s="415"/>
      <c r="AX10" s="415"/>
      <c r="AY10" s="415"/>
      <c r="AZ10" s="415"/>
      <c r="BA10" s="415"/>
      <c r="BB10" s="415"/>
      <c r="BC10" s="415"/>
      <c r="BD10" s="415"/>
      <c r="BE10" s="415"/>
      <c r="BF10" s="415"/>
      <c r="BG10" s="415"/>
      <c r="BH10" s="415"/>
      <c r="BI10" s="415"/>
      <c r="BJ10" s="415"/>
      <c r="BK10" s="415"/>
      <c r="BL10" s="415"/>
      <c r="BM10" s="415"/>
      <c r="BN10" s="415"/>
      <c r="BO10" s="415"/>
      <c r="BP10" s="415"/>
      <c r="BQ10" s="415"/>
      <c r="BR10" s="415"/>
      <c r="BS10" s="415"/>
      <c r="BT10" s="415"/>
      <c r="BU10" s="415"/>
      <c r="BV10" s="415"/>
      <c r="BW10" s="415"/>
      <c r="BX10" s="415"/>
      <c r="BY10" s="415"/>
      <c r="BZ10" s="415"/>
      <c r="CA10" s="415"/>
      <c r="CB10" s="415"/>
      <c r="CC10" s="415"/>
      <c r="CD10" s="415"/>
      <c r="CE10" s="415"/>
      <c r="CF10" s="415"/>
      <c r="CG10" s="415"/>
      <c r="CH10" s="415"/>
      <c r="CI10" s="415"/>
      <c r="CJ10" s="415"/>
      <c r="CK10" s="415"/>
      <c r="CL10" s="415"/>
      <c r="CM10" s="415"/>
      <c r="CN10" s="415"/>
      <c r="CO10" s="415"/>
      <c r="CP10" s="415"/>
      <c r="CQ10" s="415"/>
      <c r="CR10" s="415"/>
      <c r="CS10" s="415"/>
      <c r="CT10" s="415"/>
      <c r="CU10" s="415"/>
      <c r="CV10" s="415"/>
      <c r="CW10" s="415"/>
      <c r="CX10" s="415"/>
      <c r="CY10" s="415"/>
      <c r="CZ10" s="415"/>
      <c r="DA10" s="415"/>
      <c r="DB10" s="415"/>
      <c r="DC10" s="415"/>
      <c r="DD10" s="415"/>
      <c r="DE10" s="415"/>
      <c r="DF10" s="415"/>
      <c r="DG10" s="415"/>
      <c r="DH10" s="415"/>
      <c r="DI10" s="415"/>
      <c r="DJ10" s="415"/>
      <c r="DK10" s="415"/>
      <c r="DL10" s="415"/>
      <c r="DM10" s="415"/>
      <c r="DN10" s="415"/>
      <c r="DO10" s="415"/>
      <c r="DP10" s="415"/>
      <c r="DQ10" s="415"/>
      <c r="DR10" s="415"/>
      <c r="DS10" s="415"/>
      <c r="DT10" s="415"/>
      <c r="DU10" s="415"/>
      <c r="DV10" s="415"/>
      <c r="DW10" s="415"/>
      <c r="DX10" s="415"/>
      <c r="DY10" s="415"/>
      <c r="DZ10" s="415"/>
      <c r="EA10" s="415"/>
      <c r="EB10" s="415"/>
      <c r="EC10" s="415"/>
      <c r="ED10" s="415"/>
      <c r="EE10" s="415"/>
      <c r="EF10" s="415"/>
      <c r="EG10" s="415"/>
      <c r="EH10" s="415"/>
      <c r="EI10" s="415"/>
      <c r="EJ10" s="415"/>
      <c r="EK10" s="415"/>
      <c r="EL10" s="415"/>
      <c r="EM10" s="415"/>
      <c r="EN10" s="415"/>
      <c r="EO10" s="415"/>
      <c r="EP10" s="415"/>
      <c r="EQ10" s="415"/>
      <c r="ER10" s="415"/>
      <c r="ES10" s="415"/>
      <c r="ET10" s="415"/>
      <c r="EU10" s="415"/>
      <c r="EV10" s="415"/>
      <c r="EW10" s="415"/>
      <c r="EX10" s="415"/>
      <c r="EY10" s="415"/>
      <c r="EZ10" s="415"/>
      <c r="FA10" s="415"/>
      <c r="FB10" s="415"/>
      <c r="FC10" s="415"/>
      <c r="FD10" s="415"/>
      <c r="FE10" s="415"/>
      <c r="FF10" s="415"/>
      <c r="FG10" s="415"/>
      <c r="FH10" s="415"/>
      <c r="FI10" s="415"/>
      <c r="FJ10" s="415"/>
      <c r="FK10" s="415"/>
      <c r="FL10" s="415"/>
      <c r="FM10" s="415"/>
      <c r="FN10" s="415"/>
      <c r="FO10" s="415"/>
      <c r="FP10" s="415"/>
      <c r="FQ10" s="415"/>
      <c r="FR10" s="415"/>
      <c r="FS10" s="415"/>
      <c r="FT10" s="415"/>
      <c r="FU10" s="415"/>
      <c r="FV10" s="415"/>
      <c r="FW10" s="415"/>
      <c r="FX10" s="415"/>
      <c r="FY10" s="415"/>
      <c r="FZ10" s="415"/>
      <c r="GA10" s="415"/>
      <c r="GB10" s="415"/>
      <c r="GC10" s="415"/>
      <c r="GD10" s="415"/>
      <c r="GE10" s="415"/>
      <c r="GF10" s="415"/>
      <c r="GG10" s="415"/>
      <c r="GH10" s="415"/>
      <c r="GI10" s="415"/>
      <c r="GJ10" s="415"/>
      <c r="GK10" s="415"/>
      <c r="GL10" s="415"/>
      <c r="GM10" s="415"/>
      <c r="GN10" s="415"/>
      <c r="GO10" s="415"/>
      <c r="GP10" s="415"/>
      <c r="GQ10" s="415"/>
      <c r="GR10" s="415"/>
      <c r="GS10" s="415"/>
      <c r="GT10" s="415"/>
      <c r="GU10" s="415"/>
      <c r="GV10" s="415"/>
      <c r="GW10" s="415"/>
      <c r="GX10" s="415"/>
      <c r="GY10" s="415"/>
      <c r="GZ10" s="415"/>
      <c r="HA10" s="415"/>
      <c r="HB10" s="415"/>
      <c r="HC10" s="415"/>
      <c r="HD10" s="415"/>
      <c r="HE10" s="415"/>
      <c r="HF10" s="415"/>
      <c r="HG10" s="415"/>
      <c r="HH10" s="415"/>
      <c r="HI10" s="415"/>
      <c r="HJ10" s="415"/>
      <c r="HK10" s="415"/>
      <c r="HL10" s="415"/>
      <c r="HM10" s="415"/>
      <c r="HN10" s="415"/>
      <c r="HO10" s="415"/>
      <c r="HP10" s="415"/>
      <c r="HQ10" s="415"/>
      <c r="HR10" s="415"/>
      <c r="HS10" s="415"/>
      <c r="HT10" s="415"/>
      <c r="HU10" s="415"/>
      <c r="HV10" s="415"/>
      <c r="HW10" s="415"/>
      <c r="HX10" s="415"/>
      <c r="HY10" s="415"/>
      <c r="HZ10" s="415"/>
      <c r="IA10" s="415"/>
      <c r="IB10" s="415"/>
      <c r="IC10" s="415"/>
      <c r="ID10" s="415"/>
      <c r="IE10" s="415"/>
      <c r="IF10" s="415"/>
      <c r="IG10" s="415"/>
      <c r="IH10" s="415"/>
      <c r="II10" s="415"/>
      <c r="IJ10" s="415"/>
      <c r="IK10" s="415"/>
      <c r="IL10" s="415"/>
      <c r="IM10" s="415"/>
      <c r="IN10" s="415"/>
      <c r="IO10" s="415"/>
      <c r="IP10" s="415"/>
      <c r="IQ10" s="415"/>
      <c r="IR10" s="415"/>
      <c r="IS10" s="415"/>
      <c r="IT10" s="415"/>
      <c r="IU10" s="415"/>
      <c r="IV10" s="415"/>
      <c r="IW10" s="415"/>
      <c r="IX10" s="415"/>
      <c r="IY10" s="415"/>
      <c r="IZ10" s="415"/>
      <c r="JA10" s="415"/>
      <c r="JB10" s="415"/>
      <c r="JC10" s="415"/>
      <c r="JD10" s="415"/>
      <c r="JE10" s="415"/>
      <c r="JF10" s="415"/>
      <c r="JG10" s="415"/>
      <c r="JH10" s="415"/>
      <c r="JI10" s="415"/>
      <c r="JJ10" s="415"/>
      <c r="JK10" s="415"/>
      <c r="JL10" s="415"/>
      <c r="JM10" s="415"/>
      <c r="JN10" s="415"/>
      <c r="JO10" s="415"/>
      <c r="JP10" s="415"/>
      <c r="JQ10" s="415"/>
      <c r="JR10" s="415"/>
      <c r="JS10" s="415"/>
      <c r="JT10" s="415"/>
      <c r="JU10" s="415"/>
      <c r="JV10" s="415"/>
      <c r="JW10" s="415"/>
      <c r="JX10" s="415"/>
      <c r="JY10" s="415"/>
      <c r="JZ10" s="415"/>
      <c r="KA10" s="415"/>
      <c r="KB10" s="415"/>
      <c r="KC10" s="415"/>
      <c r="KD10" s="415"/>
      <c r="KE10" s="415"/>
      <c r="KF10" s="415"/>
      <c r="KG10" s="415"/>
      <c r="KH10" s="415"/>
      <c r="KI10" s="415"/>
      <c r="KJ10" s="415"/>
      <c r="KK10" s="415"/>
      <c r="KL10" s="415"/>
      <c r="KM10" s="415"/>
      <c r="KN10" s="415"/>
      <c r="KO10" s="415"/>
      <c r="KP10" s="415"/>
      <c r="KQ10" s="415"/>
      <c r="KR10" s="415"/>
      <c r="KS10" s="415"/>
      <c r="KT10" s="415"/>
      <c r="KU10" s="415"/>
      <c r="KV10" s="415"/>
      <c r="KW10" s="415"/>
      <c r="KX10" s="415"/>
      <c r="KY10" s="415"/>
      <c r="KZ10" s="415"/>
      <c r="LA10" s="415"/>
      <c r="LB10" s="415"/>
      <c r="LC10" s="415"/>
      <c r="LD10" s="415"/>
      <c r="LE10" s="415"/>
      <c r="LF10" s="415"/>
      <c r="LG10" s="415"/>
      <c r="LH10" s="415"/>
      <c r="LI10" s="415"/>
      <c r="LJ10" s="415"/>
      <c r="LK10" s="415"/>
      <c r="LL10" s="415"/>
      <c r="LM10" s="415"/>
      <c r="LN10" s="415"/>
      <c r="LO10" s="415"/>
      <c r="LP10" s="415"/>
      <c r="LQ10" s="415"/>
      <c r="LR10" s="415"/>
      <c r="LS10" s="415"/>
      <c r="LT10" s="415"/>
      <c r="LU10" s="415"/>
      <c r="LV10" s="415"/>
      <c r="LW10" s="415"/>
      <c r="LX10" s="415"/>
      <c r="LY10" s="415"/>
      <c r="LZ10" s="415"/>
      <c r="MA10" s="415"/>
      <c r="MB10" s="415"/>
      <c r="MC10" s="415"/>
      <c r="MD10" s="415"/>
      <c r="ME10" s="415"/>
      <c r="MF10" s="415"/>
      <c r="MG10" s="415"/>
      <c r="MH10" s="415"/>
      <c r="MI10" s="415"/>
      <c r="MJ10" s="415"/>
      <c r="MK10" s="415"/>
      <c r="ML10" s="415"/>
      <c r="MM10" s="415"/>
      <c r="MN10" s="415"/>
      <c r="MO10" s="415"/>
      <c r="MP10" s="415"/>
      <c r="MQ10" s="415"/>
      <c r="MR10" s="415"/>
      <c r="MS10" s="415"/>
      <c r="MT10" s="415"/>
      <c r="MU10" s="415"/>
      <c r="MV10" s="415"/>
      <c r="MW10" s="415"/>
      <c r="MX10" s="415"/>
      <c r="MY10" s="415"/>
      <c r="MZ10" s="415"/>
      <c r="NA10" s="415"/>
      <c r="NB10" s="415"/>
      <c r="NC10" s="415"/>
      <c r="ND10" s="415"/>
      <c r="NE10" s="415"/>
      <c r="NF10" s="415"/>
      <c r="NG10" s="415"/>
      <c r="NH10" s="415"/>
      <c r="NI10" s="415"/>
      <c r="NJ10" s="415"/>
      <c r="NK10" s="415"/>
      <c r="NL10" s="415"/>
      <c r="NM10" s="415"/>
      <c r="NN10" s="415"/>
      <c r="NO10" s="415"/>
      <c r="NP10" s="415"/>
      <c r="NQ10" s="415"/>
      <c r="NR10" s="415"/>
      <c r="NS10" s="415"/>
      <c r="NT10" s="415"/>
      <c r="NU10" s="415"/>
      <c r="NV10" s="415"/>
      <c r="NW10" s="415"/>
      <c r="NX10" s="415"/>
      <c r="NY10" s="415"/>
      <c r="NZ10" s="415"/>
      <c r="OA10" s="415"/>
      <c r="OB10" s="415"/>
      <c r="OC10" s="415"/>
      <c r="OD10" s="415"/>
      <c r="OE10" s="415"/>
      <c r="OF10" s="415"/>
      <c r="OG10" s="415"/>
      <c r="OH10" s="415"/>
      <c r="OI10" s="415"/>
      <c r="OJ10" s="415"/>
      <c r="OK10" s="415"/>
      <c r="OL10" s="415"/>
      <c r="OM10" s="415"/>
      <c r="ON10" s="415"/>
      <c r="OO10" s="415"/>
      <c r="OP10" s="415"/>
      <c r="OQ10" s="415"/>
      <c r="OR10" s="415"/>
      <c r="OS10" s="415"/>
      <c r="OT10" s="415"/>
      <c r="OU10" s="415"/>
      <c r="OV10" s="415"/>
      <c r="OW10" s="415"/>
      <c r="OX10" s="415"/>
      <c r="OY10" s="415"/>
      <c r="OZ10" s="415"/>
      <c r="PA10" s="415"/>
      <c r="PB10" s="415"/>
      <c r="PC10" s="415"/>
      <c r="PD10" s="415"/>
      <c r="PE10" s="415"/>
      <c r="PF10" s="415"/>
      <c r="PG10" s="415"/>
      <c r="PH10" s="415"/>
      <c r="PI10" s="415"/>
      <c r="PJ10" s="415"/>
      <c r="PK10" s="415"/>
      <c r="PL10" s="415"/>
      <c r="PM10" s="415"/>
      <c r="PN10" s="415"/>
      <c r="PO10" s="415"/>
      <c r="PP10" s="415"/>
      <c r="PQ10" s="415"/>
      <c r="PR10" s="415"/>
      <c r="PS10" s="415"/>
      <c r="PT10" s="415"/>
      <c r="PU10" s="415"/>
      <c r="PV10" s="415"/>
      <c r="PW10" s="415"/>
      <c r="PX10" s="415"/>
      <c r="PY10" s="415"/>
      <c r="PZ10" s="415"/>
      <c r="QA10" s="415"/>
      <c r="QB10" s="415"/>
      <c r="QC10" s="415"/>
      <c r="QD10" s="415"/>
      <c r="QE10" s="415"/>
      <c r="QF10" s="415"/>
      <c r="QG10" s="415"/>
      <c r="QH10" s="415"/>
      <c r="QI10" s="415"/>
      <c r="QJ10" s="415"/>
      <c r="QK10" s="415"/>
      <c r="QL10" s="415"/>
      <c r="QM10" s="415"/>
      <c r="QN10" s="415"/>
      <c r="QO10" s="415"/>
      <c r="QP10" s="415"/>
      <c r="QQ10" s="415"/>
      <c r="QR10" s="415"/>
      <c r="QS10" s="415"/>
      <c r="QT10" s="415"/>
      <c r="QU10" s="415"/>
      <c r="QV10" s="415"/>
      <c r="QW10" s="415"/>
      <c r="QX10" s="415"/>
      <c r="QY10" s="415"/>
      <c r="QZ10" s="415"/>
      <c r="RA10" s="415"/>
      <c r="RB10" s="415"/>
      <c r="RC10" s="415"/>
      <c r="RD10" s="415"/>
      <c r="RE10" s="415"/>
      <c r="RF10" s="415"/>
      <c r="RG10" s="415"/>
      <c r="RH10" s="415"/>
      <c r="RI10" s="415"/>
      <c r="RJ10" s="415"/>
      <c r="RK10" s="415"/>
      <c r="RL10" s="415"/>
      <c r="RM10" s="415"/>
      <c r="RN10" s="415"/>
      <c r="RO10" s="415"/>
      <c r="RP10" s="415"/>
      <c r="RQ10" s="415"/>
      <c r="RR10" s="415"/>
      <c r="RS10" s="415"/>
      <c r="RT10" s="415"/>
      <c r="RU10" s="415"/>
      <c r="RV10" s="415"/>
      <c r="RW10" s="415"/>
      <c r="RX10" s="415"/>
      <c r="RY10" s="415"/>
      <c r="RZ10" s="415"/>
      <c r="SA10" s="415"/>
      <c r="SB10" s="415"/>
      <c r="SC10" s="415"/>
      <c r="SD10" s="415"/>
      <c r="SE10" s="415"/>
      <c r="SF10" s="415"/>
      <c r="SG10" s="415"/>
      <c r="SH10" s="415"/>
      <c r="SI10" s="415"/>
      <c r="SJ10" s="415"/>
      <c r="SK10" s="415"/>
      <c r="SL10" s="415"/>
    </row>
    <row r="11" spans="1:506" s="39" customFormat="1" ht="14.95" customHeight="1" thickBot="1" x14ac:dyDescent="0.35">
      <c r="A11" s="161" t="s">
        <v>158</v>
      </c>
      <c r="B11" s="162" t="s">
        <v>73</v>
      </c>
      <c r="C11" s="147" t="s">
        <v>49</v>
      </c>
      <c r="D11" s="148" t="s">
        <v>12</v>
      </c>
      <c r="E11" s="148" t="s">
        <v>8</v>
      </c>
      <c r="F11" s="148">
        <v>33</v>
      </c>
      <c r="G11" s="148">
        <v>12</v>
      </c>
      <c r="H11" s="453">
        <v>1</v>
      </c>
      <c r="I11" s="453">
        <v>0</v>
      </c>
      <c r="J11" s="453">
        <v>5</v>
      </c>
      <c r="K11" s="453">
        <v>4</v>
      </c>
      <c r="L11" s="453">
        <v>0</v>
      </c>
      <c r="M11" s="453">
        <v>0</v>
      </c>
      <c r="N11" s="453">
        <v>1</v>
      </c>
      <c r="O11" s="453">
        <v>0</v>
      </c>
      <c r="P11" s="453">
        <v>0</v>
      </c>
      <c r="Q11" s="453">
        <v>0</v>
      </c>
      <c r="R11" s="453">
        <v>2</v>
      </c>
      <c r="S11" s="176" t="s">
        <v>397</v>
      </c>
      <c r="T11" s="172" t="s">
        <v>285</v>
      </c>
      <c r="U11" s="164" t="s">
        <v>50</v>
      </c>
      <c r="V11" s="164" t="s">
        <v>383</v>
      </c>
      <c r="W11" s="164" t="s">
        <v>380</v>
      </c>
      <c r="X11" s="164">
        <v>1</v>
      </c>
      <c r="Y11" s="164">
        <v>1</v>
      </c>
      <c r="Z11" s="164">
        <v>0</v>
      </c>
      <c r="AA11" s="165">
        <v>0</v>
      </c>
      <c r="AB11" s="164">
        <v>0</v>
      </c>
      <c r="AC11" s="164">
        <v>0</v>
      </c>
      <c r="AD11" s="164">
        <v>0</v>
      </c>
      <c r="AE11" s="165">
        <v>0</v>
      </c>
      <c r="AF11" s="164">
        <v>1</v>
      </c>
      <c r="AG11" s="164">
        <v>1</v>
      </c>
      <c r="AH11" s="164">
        <v>0</v>
      </c>
      <c r="AI11" s="166">
        <v>0</v>
      </c>
      <c r="AJ11" s="164">
        <v>0</v>
      </c>
      <c r="AK11" s="164">
        <v>0</v>
      </c>
      <c r="AL11" s="164">
        <v>0</v>
      </c>
      <c r="AM11" s="166">
        <v>0</v>
      </c>
      <c r="AN11" s="415"/>
      <c r="AO11" s="415"/>
      <c r="AP11" s="415"/>
      <c r="AQ11" s="415"/>
      <c r="AR11" s="415"/>
      <c r="AS11" s="415"/>
      <c r="AT11" s="415"/>
      <c r="AU11" s="415"/>
      <c r="AV11" s="415"/>
      <c r="AW11" s="415"/>
      <c r="AX11" s="415"/>
      <c r="AY11" s="415"/>
      <c r="AZ11" s="415"/>
      <c r="BA11" s="415"/>
      <c r="BB11" s="415"/>
      <c r="BC11" s="415"/>
      <c r="BD11" s="415"/>
      <c r="BE11" s="415"/>
      <c r="BF11" s="415"/>
      <c r="BG11" s="415"/>
      <c r="BH11" s="415"/>
      <c r="BI11" s="415"/>
      <c r="BJ11" s="415"/>
      <c r="BK11" s="415"/>
      <c r="BL11" s="415"/>
      <c r="BM11" s="415"/>
      <c r="BN11" s="415"/>
      <c r="BO11" s="415"/>
      <c r="BP11" s="415"/>
      <c r="BQ11" s="415"/>
      <c r="BR11" s="415"/>
      <c r="BS11" s="415"/>
      <c r="BT11" s="415"/>
      <c r="BU11" s="415"/>
      <c r="BV11" s="415"/>
      <c r="BW11" s="415"/>
      <c r="BX11" s="415"/>
      <c r="BY11" s="415"/>
      <c r="BZ11" s="415"/>
      <c r="CA11" s="415"/>
      <c r="CB11" s="415"/>
      <c r="CC11" s="415"/>
      <c r="CD11" s="415"/>
      <c r="CE11" s="415"/>
      <c r="CF11" s="415"/>
      <c r="CG11" s="415"/>
      <c r="CH11" s="415"/>
      <c r="CI11" s="415"/>
      <c r="CJ11" s="415"/>
      <c r="CK11" s="415"/>
      <c r="CL11" s="415"/>
      <c r="CM11" s="415"/>
      <c r="CN11" s="415"/>
      <c r="CO11" s="415"/>
      <c r="CP11" s="415"/>
      <c r="CQ11" s="415"/>
      <c r="CR11" s="415"/>
      <c r="CS11" s="415"/>
      <c r="CT11" s="415"/>
      <c r="CU11" s="415"/>
      <c r="CV11" s="415"/>
      <c r="CW11" s="415"/>
      <c r="CX11" s="415"/>
      <c r="CY11" s="415"/>
      <c r="CZ11" s="415"/>
      <c r="DA11" s="415"/>
      <c r="DB11" s="415"/>
      <c r="DC11" s="415"/>
      <c r="DD11" s="415"/>
      <c r="DE11" s="415"/>
      <c r="DF11" s="415"/>
      <c r="DG11" s="415"/>
      <c r="DH11" s="415"/>
      <c r="DI11" s="415"/>
      <c r="DJ11" s="415"/>
      <c r="DK11" s="415"/>
      <c r="DL11" s="415"/>
      <c r="DM11" s="415"/>
      <c r="DN11" s="415"/>
      <c r="DO11" s="415"/>
      <c r="DP11" s="415"/>
      <c r="DQ11" s="415"/>
      <c r="DR11" s="415"/>
      <c r="DS11" s="415"/>
      <c r="DT11" s="415"/>
      <c r="DU11" s="415"/>
      <c r="DV11" s="415"/>
      <c r="DW11" s="415"/>
      <c r="DX11" s="415"/>
      <c r="DY11" s="415"/>
      <c r="DZ11" s="415"/>
      <c r="EA11" s="415"/>
      <c r="EB11" s="415"/>
      <c r="EC11" s="415"/>
      <c r="ED11" s="415"/>
      <c r="EE11" s="415"/>
      <c r="EF11" s="415"/>
      <c r="EG11" s="415"/>
      <c r="EH11" s="415"/>
      <c r="EI11" s="415"/>
      <c r="EJ11" s="415"/>
      <c r="EK11" s="415"/>
      <c r="EL11" s="415"/>
      <c r="EM11" s="415"/>
      <c r="EN11" s="415"/>
      <c r="EO11" s="415"/>
      <c r="EP11" s="415"/>
      <c r="EQ11" s="415"/>
      <c r="ER11" s="415"/>
      <c r="ES11" s="415"/>
      <c r="ET11" s="415"/>
      <c r="EU11" s="415"/>
      <c r="EV11" s="415"/>
      <c r="EW11" s="415"/>
      <c r="EX11" s="415"/>
      <c r="EY11" s="415"/>
      <c r="EZ11" s="415"/>
      <c r="FA11" s="415"/>
      <c r="FB11" s="415"/>
      <c r="FC11" s="415"/>
      <c r="FD11" s="415"/>
      <c r="FE11" s="415"/>
      <c r="FF11" s="415"/>
      <c r="FG11" s="415"/>
      <c r="FH11" s="415"/>
      <c r="FI11" s="415"/>
      <c r="FJ11" s="415"/>
      <c r="FK11" s="415"/>
      <c r="FL11" s="415"/>
      <c r="FM11" s="415"/>
      <c r="FN11" s="415"/>
      <c r="FO11" s="415"/>
      <c r="FP11" s="415"/>
      <c r="FQ11" s="415"/>
      <c r="FR11" s="415"/>
      <c r="FS11" s="415"/>
      <c r="FT11" s="415"/>
      <c r="FU11" s="415"/>
      <c r="FV11" s="415"/>
      <c r="FW11" s="415"/>
      <c r="FX11" s="415"/>
      <c r="FY11" s="415"/>
      <c r="FZ11" s="415"/>
      <c r="GA11" s="415"/>
      <c r="GB11" s="415"/>
      <c r="GC11" s="415"/>
      <c r="GD11" s="415"/>
      <c r="GE11" s="415"/>
      <c r="GF11" s="415"/>
      <c r="GG11" s="415"/>
      <c r="GH11" s="415"/>
      <c r="GI11" s="415"/>
      <c r="GJ11" s="415"/>
      <c r="GK11" s="415"/>
      <c r="GL11" s="415"/>
      <c r="GM11" s="415"/>
      <c r="GN11" s="415"/>
      <c r="GO11" s="415"/>
      <c r="GP11" s="415"/>
      <c r="GQ11" s="415"/>
      <c r="GR11" s="415"/>
      <c r="GS11" s="415"/>
      <c r="GT11" s="415"/>
      <c r="GU11" s="415"/>
      <c r="GV11" s="415"/>
      <c r="GW11" s="415"/>
      <c r="GX11" s="415"/>
      <c r="GY11" s="415"/>
      <c r="GZ11" s="415"/>
      <c r="HA11" s="415"/>
      <c r="HB11" s="415"/>
      <c r="HC11" s="415"/>
      <c r="HD11" s="415"/>
      <c r="HE11" s="415"/>
      <c r="HF11" s="415"/>
      <c r="HG11" s="415"/>
      <c r="HH11" s="415"/>
      <c r="HI11" s="415"/>
      <c r="HJ11" s="415"/>
      <c r="HK11" s="415"/>
      <c r="HL11" s="415"/>
      <c r="HM11" s="415"/>
      <c r="HN11" s="415"/>
      <c r="HO11" s="415"/>
      <c r="HP11" s="415"/>
      <c r="HQ11" s="415"/>
      <c r="HR11" s="415"/>
      <c r="HS11" s="415"/>
      <c r="HT11" s="415"/>
      <c r="HU11" s="415"/>
      <c r="HV11" s="415"/>
      <c r="HW11" s="415"/>
      <c r="HX11" s="415"/>
      <c r="HY11" s="415"/>
      <c r="HZ11" s="415"/>
      <c r="IA11" s="415"/>
      <c r="IB11" s="415"/>
      <c r="IC11" s="415"/>
      <c r="ID11" s="415"/>
      <c r="IE11" s="415"/>
      <c r="IF11" s="415"/>
      <c r="IG11" s="415"/>
      <c r="IH11" s="415"/>
      <c r="II11" s="415"/>
      <c r="IJ11" s="415"/>
      <c r="IK11" s="415"/>
      <c r="IL11" s="415"/>
      <c r="IM11" s="415"/>
      <c r="IN11" s="415"/>
      <c r="IO11" s="415"/>
      <c r="IP11" s="415"/>
      <c r="IQ11" s="415"/>
      <c r="IR11" s="415"/>
      <c r="IS11" s="415"/>
      <c r="IT11" s="415"/>
      <c r="IU11" s="415"/>
      <c r="IV11" s="415"/>
      <c r="IW11" s="415"/>
      <c r="IX11" s="415"/>
      <c r="IY11" s="415"/>
      <c r="IZ11" s="415"/>
      <c r="JA11" s="415"/>
      <c r="JB11" s="415"/>
      <c r="JC11" s="415"/>
      <c r="JD11" s="415"/>
      <c r="JE11" s="415"/>
      <c r="JF11" s="415"/>
      <c r="JG11" s="415"/>
      <c r="JH11" s="415"/>
      <c r="JI11" s="415"/>
      <c r="JJ11" s="415"/>
      <c r="JK11" s="415"/>
      <c r="JL11" s="415"/>
      <c r="JM11" s="415"/>
      <c r="JN11" s="415"/>
      <c r="JO11" s="415"/>
      <c r="JP11" s="415"/>
      <c r="JQ11" s="415"/>
      <c r="JR11" s="415"/>
      <c r="JS11" s="415"/>
      <c r="JT11" s="415"/>
      <c r="JU11" s="415"/>
      <c r="JV11" s="415"/>
      <c r="JW11" s="415"/>
      <c r="JX11" s="415"/>
      <c r="JY11" s="415"/>
      <c r="JZ11" s="415"/>
      <c r="KA11" s="415"/>
      <c r="KB11" s="415"/>
      <c r="KC11" s="415"/>
      <c r="KD11" s="415"/>
      <c r="KE11" s="415"/>
      <c r="KF11" s="415"/>
      <c r="KG11" s="415"/>
      <c r="KH11" s="415"/>
      <c r="KI11" s="415"/>
      <c r="KJ11" s="415"/>
      <c r="KK11" s="415"/>
      <c r="KL11" s="415"/>
      <c r="KM11" s="415"/>
      <c r="KN11" s="415"/>
      <c r="KO11" s="415"/>
      <c r="KP11" s="415"/>
      <c r="KQ11" s="415"/>
      <c r="KR11" s="415"/>
      <c r="KS11" s="415"/>
      <c r="KT11" s="415"/>
      <c r="KU11" s="415"/>
      <c r="KV11" s="415"/>
      <c r="KW11" s="415"/>
      <c r="KX11" s="415"/>
      <c r="KY11" s="415"/>
      <c r="KZ11" s="415"/>
      <c r="LA11" s="415"/>
      <c r="LB11" s="415"/>
      <c r="LC11" s="415"/>
      <c r="LD11" s="415"/>
      <c r="LE11" s="415"/>
      <c r="LF11" s="415"/>
      <c r="LG11" s="415"/>
      <c r="LH11" s="415"/>
      <c r="LI11" s="415"/>
      <c r="LJ11" s="415"/>
      <c r="LK11" s="415"/>
      <c r="LL11" s="415"/>
      <c r="LM11" s="415"/>
      <c r="LN11" s="415"/>
      <c r="LO11" s="415"/>
      <c r="LP11" s="415"/>
      <c r="LQ11" s="415"/>
      <c r="LR11" s="415"/>
      <c r="LS11" s="415"/>
      <c r="LT11" s="415"/>
      <c r="LU11" s="415"/>
      <c r="LV11" s="415"/>
      <c r="LW11" s="415"/>
      <c r="LX11" s="415"/>
      <c r="LY11" s="415"/>
      <c r="LZ11" s="415"/>
      <c r="MA11" s="415"/>
      <c r="MB11" s="415"/>
      <c r="MC11" s="415"/>
      <c r="MD11" s="415"/>
      <c r="ME11" s="415"/>
      <c r="MF11" s="415"/>
      <c r="MG11" s="415"/>
      <c r="MH11" s="415"/>
      <c r="MI11" s="415"/>
      <c r="MJ11" s="415"/>
      <c r="MK11" s="415"/>
      <c r="ML11" s="415"/>
      <c r="MM11" s="415"/>
      <c r="MN11" s="415"/>
      <c r="MO11" s="415"/>
      <c r="MP11" s="415"/>
      <c r="MQ11" s="415"/>
      <c r="MR11" s="415"/>
      <c r="MS11" s="415"/>
      <c r="MT11" s="415"/>
      <c r="MU11" s="415"/>
      <c r="MV11" s="415"/>
      <c r="MW11" s="415"/>
      <c r="MX11" s="415"/>
      <c r="MY11" s="415"/>
      <c r="MZ11" s="415"/>
      <c r="NA11" s="415"/>
      <c r="NB11" s="415"/>
      <c r="NC11" s="415"/>
      <c r="ND11" s="415"/>
      <c r="NE11" s="415"/>
      <c r="NF11" s="415"/>
      <c r="NG11" s="415"/>
      <c r="NH11" s="415"/>
      <c r="NI11" s="415"/>
      <c r="NJ11" s="415"/>
      <c r="NK11" s="415"/>
      <c r="NL11" s="415"/>
      <c r="NM11" s="415"/>
      <c r="NN11" s="415"/>
      <c r="NO11" s="415"/>
      <c r="NP11" s="415"/>
      <c r="NQ11" s="415"/>
      <c r="NR11" s="415"/>
      <c r="NS11" s="415"/>
      <c r="NT11" s="415"/>
      <c r="NU11" s="415"/>
      <c r="NV11" s="415"/>
      <c r="NW11" s="415"/>
      <c r="NX11" s="415"/>
      <c r="NY11" s="415"/>
      <c r="NZ11" s="415"/>
      <c r="OA11" s="415"/>
      <c r="OB11" s="415"/>
      <c r="OC11" s="415"/>
      <c r="OD11" s="415"/>
      <c r="OE11" s="415"/>
      <c r="OF11" s="415"/>
      <c r="OG11" s="415"/>
      <c r="OH11" s="415"/>
      <c r="OI11" s="415"/>
      <c r="OJ11" s="415"/>
      <c r="OK11" s="415"/>
      <c r="OL11" s="415"/>
      <c r="OM11" s="415"/>
      <c r="ON11" s="415"/>
      <c r="OO11" s="415"/>
      <c r="OP11" s="415"/>
      <c r="OQ11" s="415"/>
      <c r="OR11" s="415"/>
      <c r="OS11" s="415"/>
      <c r="OT11" s="415"/>
      <c r="OU11" s="415"/>
      <c r="OV11" s="415"/>
      <c r="OW11" s="415"/>
      <c r="OX11" s="415"/>
      <c r="OY11" s="415"/>
      <c r="OZ11" s="415"/>
      <c r="PA11" s="415"/>
      <c r="PB11" s="415"/>
      <c r="PC11" s="415"/>
      <c r="PD11" s="415"/>
      <c r="PE11" s="415"/>
      <c r="PF11" s="415"/>
      <c r="PG11" s="415"/>
      <c r="PH11" s="415"/>
      <c r="PI11" s="415"/>
      <c r="PJ11" s="415"/>
      <c r="PK11" s="415"/>
      <c r="PL11" s="415"/>
      <c r="PM11" s="415"/>
      <c r="PN11" s="415"/>
      <c r="PO11" s="415"/>
      <c r="PP11" s="415"/>
      <c r="PQ11" s="415"/>
      <c r="PR11" s="415"/>
      <c r="PS11" s="415"/>
      <c r="PT11" s="415"/>
      <c r="PU11" s="415"/>
      <c r="PV11" s="415"/>
      <c r="PW11" s="415"/>
      <c r="PX11" s="415"/>
      <c r="PY11" s="415"/>
      <c r="PZ11" s="415"/>
      <c r="QA11" s="415"/>
      <c r="QB11" s="415"/>
      <c r="QC11" s="415"/>
      <c r="QD11" s="415"/>
      <c r="QE11" s="415"/>
      <c r="QF11" s="415"/>
      <c r="QG11" s="415"/>
      <c r="QH11" s="415"/>
      <c r="QI11" s="415"/>
      <c r="QJ11" s="415"/>
      <c r="QK11" s="415"/>
      <c r="QL11" s="415"/>
      <c r="QM11" s="415"/>
      <c r="QN11" s="415"/>
      <c r="QO11" s="415"/>
      <c r="QP11" s="415"/>
      <c r="QQ11" s="415"/>
      <c r="QR11" s="415"/>
      <c r="QS11" s="415"/>
      <c r="QT11" s="415"/>
      <c r="QU11" s="415"/>
      <c r="QV11" s="415"/>
      <c r="QW11" s="415"/>
      <c r="QX11" s="415"/>
      <c r="QY11" s="415"/>
      <c r="QZ11" s="415"/>
      <c r="RA11" s="415"/>
      <c r="RB11" s="415"/>
      <c r="RC11" s="415"/>
      <c r="RD11" s="415"/>
      <c r="RE11" s="415"/>
      <c r="RF11" s="415"/>
      <c r="RG11" s="415"/>
      <c r="RH11" s="415"/>
      <c r="RI11" s="415"/>
      <c r="RJ11" s="415"/>
      <c r="RK11" s="415"/>
      <c r="RL11" s="415"/>
      <c r="RM11" s="415"/>
      <c r="RN11" s="415"/>
      <c r="RO11" s="415"/>
      <c r="RP11" s="415"/>
      <c r="RQ11" s="415"/>
      <c r="RR11" s="415"/>
      <c r="RS11" s="415"/>
      <c r="RT11" s="415"/>
      <c r="RU11" s="415"/>
      <c r="RV11" s="415"/>
      <c r="RW11" s="415"/>
      <c r="RX11" s="415"/>
      <c r="RY11" s="415"/>
      <c r="RZ11" s="415"/>
      <c r="SA11" s="415"/>
      <c r="SB11" s="415"/>
      <c r="SC11" s="415"/>
      <c r="SD11" s="415"/>
      <c r="SE11" s="415"/>
      <c r="SF11" s="415"/>
      <c r="SG11" s="415"/>
      <c r="SH11" s="415"/>
      <c r="SI11" s="415"/>
      <c r="SJ11" s="415"/>
      <c r="SK11" s="415"/>
      <c r="SL11" s="415"/>
    </row>
    <row r="12" spans="1:506" s="13" customFormat="1" ht="14.95" customHeight="1" thickBot="1" x14ac:dyDescent="0.35">
      <c r="A12" s="154" t="s">
        <v>242</v>
      </c>
      <c r="B12" s="155" t="s">
        <v>73</v>
      </c>
      <c r="C12" s="152" t="s">
        <v>70</v>
      </c>
      <c r="D12" s="153" t="s">
        <v>153</v>
      </c>
      <c r="E12" s="153" t="s">
        <v>8</v>
      </c>
      <c r="F12" s="153">
        <v>79</v>
      </c>
      <c r="G12" s="153">
        <v>5</v>
      </c>
      <c r="H12" s="454">
        <v>1</v>
      </c>
      <c r="I12" s="454">
        <v>0</v>
      </c>
      <c r="J12" s="454">
        <v>13</v>
      </c>
      <c r="K12" s="454">
        <v>7</v>
      </c>
      <c r="L12" s="454">
        <v>0</v>
      </c>
      <c r="M12" s="454">
        <v>0</v>
      </c>
      <c r="N12" s="454">
        <v>0</v>
      </c>
      <c r="O12" s="454">
        <v>0</v>
      </c>
      <c r="P12" s="454">
        <v>0</v>
      </c>
      <c r="Q12" s="454">
        <v>0</v>
      </c>
      <c r="R12" s="454">
        <v>1</v>
      </c>
      <c r="S12" s="347" t="s">
        <v>443</v>
      </c>
      <c r="T12" s="158" t="s">
        <v>444</v>
      </c>
      <c r="U12" s="339" t="s">
        <v>50</v>
      </c>
      <c r="V12" s="340" t="s">
        <v>445</v>
      </c>
      <c r="W12" s="158" t="s">
        <v>295</v>
      </c>
      <c r="X12" s="158">
        <v>1</v>
      </c>
      <c r="Y12" s="158">
        <v>1</v>
      </c>
      <c r="Z12" s="158">
        <v>0</v>
      </c>
      <c r="AA12" s="159">
        <v>0</v>
      </c>
      <c r="AB12" s="158">
        <v>1</v>
      </c>
      <c r="AC12" s="158">
        <v>1</v>
      </c>
      <c r="AD12" s="158">
        <v>0</v>
      </c>
      <c r="AE12" s="159">
        <v>0</v>
      </c>
      <c r="AF12" s="158">
        <v>0</v>
      </c>
      <c r="AG12" s="158">
        <v>0</v>
      </c>
      <c r="AH12" s="158">
        <v>0</v>
      </c>
      <c r="AI12" s="160">
        <v>0</v>
      </c>
      <c r="AJ12" s="158">
        <v>0</v>
      </c>
      <c r="AK12" s="158">
        <v>0</v>
      </c>
      <c r="AL12" s="158">
        <v>0</v>
      </c>
      <c r="AM12" s="160">
        <v>0</v>
      </c>
      <c r="AN12" s="416"/>
      <c r="AO12" s="416"/>
      <c r="AP12" s="416"/>
      <c r="AQ12" s="416"/>
      <c r="AR12" s="416"/>
      <c r="AS12" s="416"/>
      <c r="AT12" s="416"/>
      <c r="AU12" s="416"/>
      <c r="AV12" s="416"/>
      <c r="AW12" s="416"/>
      <c r="AX12" s="416"/>
      <c r="AY12" s="416"/>
      <c r="AZ12" s="416"/>
      <c r="BA12" s="416"/>
      <c r="BB12" s="416"/>
      <c r="BC12" s="416"/>
      <c r="BD12" s="416"/>
      <c r="BE12" s="416"/>
      <c r="BF12" s="416"/>
      <c r="BG12" s="416"/>
      <c r="BH12" s="416"/>
      <c r="BI12" s="416"/>
      <c r="BJ12" s="416"/>
      <c r="BK12" s="416"/>
      <c r="BL12" s="416"/>
      <c r="BM12" s="416"/>
      <c r="BN12" s="416"/>
      <c r="BO12" s="416"/>
      <c r="BP12" s="416"/>
      <c r="BQ12" s="416"/>
      <c r="BR12" s="416"/>
      <c r="BS12" s="416"/>
      <c r="BT12" s="416"/>
      <c r="BU12" s="416"/>
      <c r="BV12" s="416"/>
      <c r="BW12" s="416"/>
      <c r="BX12" s="416"/>
      <c r="BY12" s="416"/>
      <c r="BZ12" s="416"/>
      <c r="CA12" s="416"/>
      <c r="CB12" s="416"/>
      <c r="CC12" s="416"/>
      <c r="CD12" s="416"/>
      <c r="CE12" s="416"/>
      <c r="CF12" s="416"/>
      <c r="CG12" s="416"/>
      <c r="CH12" s="416"/>
      <c r="CI12" s="416"/>
      <c r="CJ12" s="416"/>
      <c r="CK12" s="416"/>
      <c r="CL12" s="416"/>
      <c r="CM12" s="416"/>
      <c r="CN12" s="416"/>
      <c r="CO12" s="416"/>
      <c r="CP12" s="416"/>
      <c r="CQ12" s="416"/>
      <c r="CR12" s="416"/>
      <c r="CS12" s="416"/>
      <c r="CT12" s="416"/>
      <c r="CU12" s="416"/>
      <c r="CV12" s="416"/>
      <c r="CW12" s="416"/>
      <c r="CX12" s="416"/>
      <c r="CY12" s="416"/>
      <c r="CZ12" s="416"/>
      <c r="DA12" s="416"/>
      <c r="DB12" s="416"/>
      <c r="DC12" s="416"/>
      <c r="DD12" s="416"/>
      <c r="DE12" s="416"/>
      <c r="DF12" s="416"/>
      <c r="DG12" s="416"/>
      <c r="DH12" s="416"/>
      <c r="DI12" s="416"/>
      <c r="DJ12" s="416"/>
      <c r="DK12" s="416"/>
      <c r="DL12" s="416"/>
      <c r="DM12" s="416"/>
      <c r="DN12" s="416"/>
      <c r="DO12" s="416"/>
      <c r="DP12" s="416"/>
      <c r="DQ12" s="416"/>
      <c r="DR12" s="416"/>
      <c r="DS12" s="416"/>
      <c r="DT12" s="416"/>
      <c r="DU12" s="416"/>
      <c r="DV12" s="416"/>
      <c r="DW12" s="416"/>
      <c r="DX12" s="416"/>
      <c r="DY12" s="416"/>
      <c r="DZ12" s="416"/>
      <c r="EA12" s="416"/>
      <c r="EB12" s="416"/>
      <c r="EC12" s="416"/>
      <c r="ED12" s="416"/>
      <c r="EE12" s="416"/>
      <c r="EF12" s="416"/>
      <c r="EG12" s="416"/>
      <c r="EH12" s="416"/>
      <c r="EI12" s="416"/>
      <c r="EJ12" s="416"/>
      <c r="EK12" s="416"/>
      <c r="EL12" s="416"/>
      <c r="EM12" s="416"/>
      <c r="EN12" s="416"/>
      <c r="EO12" s="416"/>
      <c r="EP12" s="416"/>
      <c r="EQ12" s="416"/>
      <c r="ER12" s="416"/>
      <c r="ES12" s="416"/>
      <c r="ET12" s="416"/>
      <c r="EU12" s="416"/>
      <c r="EV12" s="416"/>
      <c r="EW12" s="416"/>
      <c r="EX12" s="416"/>
      <c r="EY12" s="416"/>
      <c r="EZ12" s="416"/>
      <c r="FA12" s="416"/>
      <c r="FB12" s="416"/>
      <c r="FC12" s="416"/>
      <c r="FD12" s="416"/>
      <c r="FE12" s="416"/>
      <c r="FF12" s="416"/>
      <c r="FG12" s="416"/>
      <c r="FH12" s="416"/>
      <c r="FI12" s="416"/>
      <c r="FJ12" s="416"/>
      <c r="FK12" s="416"/>
      <c r="FL12" s="416"/>
      <c r="FM12" s="416"/>
      <c r="FN12" s="416"/>
      <c r="FO12" s="416"/>
      <c r="FP12" s="416"/>
      <c r="FQ12" s="416"/>
      <c r="FR12" s="416"/>
      <c r="FS12" s="416"/>
      <c r="FT12" s="416"/>
      <c r="FU12" s="416"/>
      <c r="FV12" s="416"/>
      <c r="FW12" s="416"/>
      <c r="FX12" s="416"/>
      <c r="FY12" s="416"/>
      <c r="FZ12" s="416"/>
      <c r="GA12" s="416"/>
      <c r="GB12" s="416"/>
      <c r="GC12" s="416"/>
      <c r="GD12" s="416"/>
      <c r="GE12" s="416"/>
      <c r="GF12" s="416"/>
      <c r="GG12" s="416"/>
      <c r="GH12" s="416"/>
      <c r="GI12" s="416"/>
      <c r="GJ12" s="416"/>
      <c r="GK12" s="416"/>
      <c r="GL12" s="416"/>
      <c r="GM12" s="416"/>
      <c r="GN12" s="416"/>
      <c r="GO12" s="416"/>
      <c r="GP12" s="416"/>
      <c r="GQ12" s="416"/>
      <c r="GR12" s="416"/>
      <c r="GS12" s="416"/>
      <c r="GT12" s="416"/>
      <c r="GU12" s="416"/>
      <c r="GV12" s="416"/>
      <c r="GW12" s="416"/>
      <c r="GX12" s="416"/>
      <c r="GY12" s="416"/>
      <c r="GZ12" s="416"/>
      <c r="HA12" s="416"/>
      <c r="HB12" s="416"/>
      <c r="HC12" s="416"/>
      <c r="HD12" s="416"/>
      <c r="HE12" s="416"/>
      <c r="HF12" s="416"/>
      <c r="HG12" s="416"/>
      <c r="HH12" s="416"/>
      <c r="HI12" s="416"/>
      <c r="HJ12" s="416"/>
      <c r="HK12" s="416"/>
      <c r="HL12" s="416"/>
      <c r="HM12" s="416"/>
      <c r="HN12" s="416"/>
      <c r="HO12" s="416"/>
      <c r="HP12" s="416"/>
      <c r="HQ12" s="416"/>
      <c r="HR12" s="416"/>
      <c r="HS12" s="416"/>
      <c r="HT12" s="416"/>
      <c r="HU12" s="416"/>
      <c r="HV12" s="416"/>
      <c r="HW12" s="416"/>
      <c r="HX12" s="416"/>
      <c r="HY12" s="416"/>
      <c r="HZ12" s="416"/>
      <c r="IA12" s="416"/>
      <c r="IB12" s="416"/>
      <c r="IC12" s="416"/>
      <c r="ID12" s="416"/>
      <c r="IE12" s="416"/>
      <c r="IF12" s="416"/>
      <c r="IG12" s="416"/>
      <c r="IH12" s="416"/>
      <c r="II12" s="416"/>
      <c r="IJ12" s="416"/>
      <c r="IK12" s="416"/>
      <c r="IL12" s="416"/>
      <c r="IM12" s="416"/>
      <c r="IN12" s="416"/>
      <c r="IO12" s="416"/>
      <c r="IP12" s="416"/>
      <c r="IQ12" s="416"/>
      <c r="IR12" s="416"/>
      <c r="IS12" s="416"/>
      <c r="IT12" s="416"/>
      <c r="IU12" s="416"/>
      <c r="IV12" s="416"/>
      <c r="IW12" s="416"/>
      <c r="IX12" s="416"/>
      <c r="IY12" s="416"/>
      <c r="IZ12" s="416"/>
      <c r="JA12" s="416"/>
      <c r="JB12" s="416"/>
      <c r="JC12" s="416"/>
      <c r="JD12" s="416"/>
      <c r="JE12" s="416"/>
      <c r="JF12" s="416"/>
      <c r="JG12" s="416"/>
      <c r="JH12" s="416"/>
      <c r="JI12" s="416"/>
      <c r="JJ12" s="416"/>
      <c r="JK12" s="416"/>
      <c r="JL12" s="416"/>
      <c r="JM12" s="416"/>
      <c r="JN12" s="416"/>
      <c r="JO12" s="416"/>
      <c r="JP12" s="416"/>
      <c r="JQ12" s="416"/>
      <c r="JR12" s="416"/>
      <c r="JS12" s="416"/>
      <c r="JT12" s="416"/>
      <c r="JU12" s="416"/>
      <c r="JV12" s="416"/>
      <c r="JW12" s="416"/>
      <c r="JX12" s="416"/>
      <c r="JY12" s="416"/>
      <c r="JZ12" s="416"/>
      <c r="KA12" s="416"/>
      <c r="KB12" s="416"/>
      <c r="KC12" s="416"/>
      <c r="KD12" s="416"/>
      <c r="KE12" s="416"/>
      <c r="KF12" s="416"/>
      <c r="KG12" s="416"/>
      <c r="KH12" s="416"/>
      <c r="KI12" s="416"/>
      <c r="KJ12" s="416"/>
      <c r="KK12" s="416"/>
      <c r="KL12" s="416"/>
      <c r="KM12" s="416"/>
      <c r="KN12" s="416"/>
      <c r="KO12" s="416"/>
      <c r="KP12" s="416"/>
      <c r="KQ12" s="416"/>
      <c r="KR12" s="416"/>
      <c r="KS12" s="416"/>
      <c r="KT12" s="416"/>
      <c r="KU12" s="416"/>
      <c r="KV12" s="416"/>
      <c r="KW12" s="416"/>
      <c r="KX12" s="416"/>
      <c r="KY12" s="416"/>
      <c r="KZ12" s="416"/>
      <c r="LA12" s="416"/>
      <c r="LB12" s="416"/>
      <c r="LC12" s="416"/>
      <c r="LD12" s="416"/>
      <c r="LE12" s="416"/>
      <c r="LF12" s="416"/>
      <c r="LG12" s="416"/>
      <c r="LH12" s="416"/>
      <c r="LI12" s="416"/>
      <c r="LJ12" s="416"/>
      <c r="LK12" s="416"/>
      <c r="LL12" s="416"/>
      <c r="LM12" s="416"/>
      <c r="LN12" s="416"/>
      <c r="LO12" s="416"/>
      <c r="LP12" s="416"/>
      <c r="LQ12" s="416"/>
      <c r="LR12" s="416"/>
      <c r="LS12" s="416"/>
      <c r="LT12" s="416"/>
      <c r="LU12" s="416"/>
      <c r="LV12" s="416"/>
      <c r="LW12" s="416"/>
      <c r="LX12" s="416"/>
      <c r="LY12" s="416"/>
      <c r="LZ12" s="416"/>
      <c r="MA12" s="416"/>
      <c r="MB12" s="416"/>
      <c r="MC12" s="416"/>
      <c r="MD12" s="416"/>
      <c r="ME12" s="416"/>
      <c r="MF12" s="416"/>
      <c r="MG12" s="416"/>
      <c r="MH12" s="416"/>
      <c r="MI12" s="416"/>
      <c r="MJ12" s="416"/>
      <c r="MK12" s="416"/>
      <c r="ML12" s="416"/>
      <c r="MM12" s="416"/>
      <c r="MN12" s="416"/>
      <c r="MO12" s="416"/>
      <c r="MP12" s="416"/>
      <c r="MQ12" s="416"/>
      <c r="MR12" s="416"/>
      <c r="MS12" s="416"/>
      <c r="MT12" s="416"/>
      <c r="MU12" s="416"/>
      <c r="MV12" s="416"/>
      <c r="MW12" s="416"/>
      <c r="MX12" s="416"/>
      <c r="MY12" s="416"/>
      <c r="MZ12" s="416"/>
      <c r="NA12" s="416"/>
      <c r="NB12" s="416"/>
      <c r="NC12" s="416"/>
      <c r="ND12" s="416"/>
      <c r="NE12" s="416"/>
      <c r="NF12" s="416"/>
      <c r="NG12" s="416"/>
      <c r="NH12" s="416"/>
      <c r="NI12" s="416"/>
      <c r="NJ12" s="416"/>
      <c r="NK12" s="416"/>
      <c r="NL12" s="416"/>
      <c r="NM12" s="416"/>
      <c r="NN12" s="416"/>
      <c r="NO12" s="416"/>
      <c r="NP12" s="416"/>
      <c r="NQ12" s="416"/>
      <c r="NR12" s="416"/>
      <c r="NS12" s="416"/>
      <c r="NT12" s="416"/>
      <c r="NU12" s="416"/>
      <c r="NV12" s="416"/>
      <c r="NW12" s="416"/>
      <c r="NX12" s="416"/>
      <c r="NY12" s="416"/>
      <c r="NZ12" s="416"/>
      <c r="OA12" s="416"/>
      <c r="OB12" s="416"/>
      <c r="OC12" s="416"/>
      <c r="OD12" s="416"/>
      <c r="OE12" s="416"/>
      <c r="OF12" s="416"/>
      <c r="OG12" s="416"/>
      <c r="OH12" s="416"/>
      <c r="OI12" s="416"/>
      <c r="OJ12" s="416"/>
      <c r="OK12" s="416"/>
      <c r="OL12" s="416"/>
      <c r="OM12" s="416"/>
      <c r="ON12" s="416"/>
      <c r="OO12" s="416"/>
      <c r="OP12" s="416"/>
      <c r="OQ12" s="416"/>
      <c r="OR12" s="416"/>
      <c r="OS12" s="416"/>
      <c r="OT12" s="416"/>
      <c r="OU12" s="416"/>
      <c r="OV12" s="416"/>
      <c r="OW12" s="416"/>
      <c r="OX12" s="416"/>
      <c r="OY12" s="416"/>
      <c r="OZ12" s="416"/>
      <c r="PA12" s="416"/>
      <c r="PB12" s="416"/>
      <c r="PC12" s="416"/>
      <c r="PD12" s="416"/>
      <c r="PE12" s="416"/>
      <c r="PF12" s="416"/>
      <c r="PG12" s="416"/>
      <c r="PH12" s="416"/>
      <c r="PI12" s="416"/>
      <c r="PJ12" s="416"/>
      <c r="PK12" s="416"/>
      <c r="PL12" s="416"/>
      <c r="PM12" s="416"/>
      <c r="PN12" s="416"/>
      <c r="PO12" s="416"/>
      <c r="PP12" s="416"/>
      <c r="PQ12" s="416"/>
      <c r="PR12" s="416"/>
      <c r="PS12" s="416"/>
      <c r="PT12" s="416"/>
      <c r="PU12" s="416"/>
      <c r="PV12" s="416"/>
      <c r="PW12" s="416"/>
      <c r="PX12" s="416"/>
      <c r="PY12" s="416"/>
      <c r="PZ12" s="416"/>
      <c r="QA12" s="416"/>
      <c r="QB12" s="416"/>
      <c r="QC12" s="416"/>
      <c r="QD12" s="416"/>
      <c r="QE12" s="416"/>
      <c r="QF12" s="416"/>
      <c r="QG12" s="416"/>
      <c r="QH12" s="416"/>
      <c r="QI12" s="416"/>
      <c r="QJ12" s="416"/>
      <c r="QK12" s="416"/>
      <c r="QL12" s="416"/>
      <c r="QM12" s="416"/>
      <c r="QN12" s="416"/>
      <c r="QO12" s="416"/>
      <c r="QP12" s="416"/>
      <c r="QQ12" s="416"/>
      <c r="QR12" s="416"/>
      <c r="QS12" s="416"/>
      <c r="QT12" s="416"/>
      <c r="QU12" s="416"/>
      <c r="QV12" s="416"/>
      <c r="QW12" s="416"/>
      <c r="QX12" s="416"/>
      <c r="QY12" s="416"/>
      <c r="QZ12" s="416"/>
      <c r="RA12" s="416"/>
      <c r="RB12" s="416"/>
      <c r="RC12" s="416"/>
      <c r="RD12" s="416"/>
      <c r="RE12" s="416"/>
      <c r="RF12" s="416"/>
      <c r="RG12" s="416"/>
      <c r="RH12" s="416"/>
      <c r="RI12" s="416"/>
      <c r="RJ12" s="416"/>
      <c r="RK12" s="416"/>
      <c r="RL12" s="416"/>
      <c r="RM12" s="416"/>
      <c r="RN12" s="416"/>
      <c r="RO12" s="416"/>
      <c r="RP12" s="416"/>
      <c r="RQ12" s="416"/>
      <c r="RR12" s="416"/>
      <c r="RS12" s="416"/>
      <c r="RT12" s="416"/>
      <c r="RU12" s="416"/>
      <c r="RV12" s="416"/>
      <c r="RW12" s="416"/>
      <c r="RX12" s="416"/>
      <c r="RY12" s="416"/>
      <c r="RZ12" s="416"/>
      <c r="SA12" s="416"/>
      <c r="SB12" s="416"/>
      <c r="SC12" s="416"/>
      <c r="SD12" s="416"/>
      <c r="SE12" s="416"/>
      <c r="SF12" s="416"/>
      <c r="SG12" s="416"/>
      <c r="SH12" s="416"/>
      <c r="SI12" s="416"/>
      <c r="SJ12" s="416"/>
      <c r="SK12" s="416"/>
      <c r="SL12" s="416"/>
    </row>
    <row r="13" spans="1:506" s="38" customFormat="1" ht="14.95" customHeight="1" thickBot="1" x14ac:dyDescent="0.35">
      <c r="A13" s="334" t="s">
        <v>243</v>
      </c>
      <c r="B13" s="162" t="s">
        <v>73</v>
      </c>
      <c r="C13" s="335" t="s">
        <v>100</v>
      </c>
      <c r="D13" s="336" t="s">
        <v>12</v>
      </c>
      <c r="E13" s="336" t="s">
        <v>8</v>
      </c>
      <c r="F13" s="336">
        <v>57</v>
      </c>
      <c r="G13" s="336">
        <v>5</v>
      </c>
      <c r="H13" s="455">
        <v>1</v>
      </c>
      <c r="I13" s="455">
        <v>0</v>
      </c>
      <c r="J13" s="455">
        <v>9</v>
      </c>
      <c r="K13" s="455">
        <v>6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5">
        <v>0</v>
      </c>
      <c r="R13" s="455">
        <v>1</v>
      </c>
      <c r="S13" s="176" t="s">
        <v>429</v>
      </c>
      <c r="T13" s="172" t="s">
        <v>326</v>
      </c>
      <c r="U13" s="164" t="s">
        <v>50</v>
      </c>
      <c r="V13" s="164" t="s">
        <v>447</v>
      </c>
      <c r="W13" s="166" t="s">
        <v>288</v>
      </c>
      <c r="X13" s="164">
        <v>1</v>
      </c>
      <c r="Y13" s="164">
        <v>1</v>
      </c>
      <c r="Z13" s="164">
        <v>0</v>
      </c>
      <c r="AA13" s="164">
        <v>0</v>
      </c>
      <c r="AB13" s="164">
        <v>1</v>
      </c>
      <c r="AC13" s="164">
        <v>1</v>
      </c>
      <c r="AD13" s="164">
        <v>0</v>
      </c>
      <c r="AE13" s="164">
        <v>0</v>
      </c>
      <c r="AF13" s="164">
        <v>0</v>
      </c>
      <c r="AG13" s="164">
        <v>0</v>
      </c>
      <c r="AH13" s="164">
        <v>0</v>
      </c>
      <c r="AI13" s="172">
        <v>0</v>
      </c>
      <c r="AJ13" s="164">
        <v>0</v>
      </c>
      <c r="AK13" s="164">
        <v>0</v>
      </c>
      <c r="AL13" s="164">
        <v>0</v>
      </c>
      <c r="AM13" s="172">
        <v>0</v>
      </c>
      <c r="AN13" s="416"/>
      <c r="AO13" s="416"/>
      <c r="AP13" s="416"/>
      <c r="AQ13" s="416"/>
      <c r="AR13" s="416"/>
      <c r="AS13" s="416"/>
      <c r="AT13" s="416"/>
      <c r="AU13" s="416"/>
      <c r="AV13" s="416"/>
      <c r="AW13" s="416"/>
      <c r="AX13" s="416"/>
      <c r="AY13" s="416"/>
      <c r="AZ13" s="416"/>
      <c r="BA13" s="416"/>
      <c r="BB13" s="416"/>
      <c r="BC13" s="416"/>
      <c r="BD13" s="416"/>
      <c r="BE13" s="416"/>
      <c r="BF13" s="416"/>
      <c r="BG13" s="416"/>
      <c r="BH13" s="416"/>
      <c r="BI13" s="416"/>
      <c r="BJ13" s="416"/>
      <c r="BK13" s="416"/>
      <c r="BL13" s="416"/>
      <c r="BM13" s="416"/>
      <c r="BN13" s="416"/>
      <c r="BO13" s="416"/>
      <c r="BP13" s="416"/>
      <c r="BQ13" s="416"/>
      <c r="BR13" s="416"/>
      <c r="BS13" s="416"/>
      <c r="BT13" s="416"/>
      <c r="BU13" s="416"/>
      <c r="BV13" s="416"/>
      <c r="BW13" s="416"/>
      <c r="BX13" s="416"/>
      <c r="BY13" s="416"/>
      <c r="BZ13" s="416"/>
      <c r="CA13" s="416"/>
      <c r="CB13" s="416"/>
      <c r="CC13" s="416"/>
      <c r="CD13" s="416"/>
      <c r="CE13" s="416"/>
      <c r="CF13" s="416"/>
      <c r="CG13" s="416"/>
      <c r="CH13" s="416"/>
      <c r="CI13" s="416"/>
      <c r="CJ13" s="416"/>
      <c r="CK13" s="416"/>
      <c r="CL13" s="416"/>
      <c r="CM13" s="416"/>
      <c r="CN13" s="416"/>
      <c r="CO13" s="416"/>
      <c r="CP13" s="416"/>
      <c r="CQ13" s="416"/>
      <c r="CR13" s="416"/>
      <c r="CS13" s="416"/>
      <c r="CT13" s="416"/>
      <c r="CU13" s="416"/>
      <c r="CV13" s="416"/>
      <c r="CW13" s="416"/>
      <c r="CX13" s="416"/>
      <c r="CY13" s="416"/>
      <c r="CZ13" s="416"/>
      <c r="DA13" s="416"/>
      <c r="DB13" s="416"/>
      <c r="DC13" s="416"/>
      <c r="DD13" s="416"/>
      <c r="DE13" s="416"/>
      <c r="DF13" s="416"/>
      <c r="DG13" s="416"/>
      <c r="DH13" s="416"/>
      <c r="DI13" s="416"/>
      <c r="DJ13" s="416"/>
      <c r="DK13" s="416"/>
      <c r="DL13" s="416"/>
      <c r="DM13" s="416"/>
      <c r="DN13" s="416"/>
      <c r="DO13" s="416"/>
      <c r="DP13" s="416"/>
      <c r="DQ13" s="416"/>
      <c r="DR13" s="416"/>
      <c r="DS13" s="416"/>
      <c r="DT13" s="416"/>
      <c r="DU13" s="416"/>
      <c r="DV13" s="416"/>
      <c r="DW13" s="416"/>
      <c r="DX13" s="416"/>
      <c r="DY13" s="416"/>
      <c r="DZ13" s="416"/>
      <c r="EA13" s="416"/>
      <c r="EB13" s="416"/>
      <c r="EC13" s="416"/>
      <c r="ED13" s="416"/>
      <c r="EE13" s="416"/>
      <c r="EF13" s="416"/>
      <c r="EG13" s="416"/>
      <c r="EH13" s="416"/>
      <c r="EI13" s="416"/>
      <c r="EJ13" s="416"/>
      <c r="EK13" s="416"/>
      <c r="EL13" s="416"/>
      <c r="EM13" s="416"/>
      <c r="EN13" s="416"/>
      <c r="EO13" s="416"/>
      <c r="EP13" s="416"/>
      <c r="EQ13" s="416"/>
      <c r="ER13" s="416"/>
      <c r="ES13" s="416"/>
      <c r="ET13" s="416"/>
      <c r="EU13" s="416"/>
      <c r="EV13" s="416"/>
      <c r="EW13" s="416"/>
      <c r="EX13" s="416"/>
      <c r="EY13" s="416"/>
      <c r="EZ13" s="416"/>
      <c r="FA13" s="416"/>
      <c r="FB13" s="416"/>
      <c r="FC13" s="416"/>
      <c r="FD13" s="416"/>
      <c r="FE13" s="416"/>
      <c r="FF13" s="416"/>
      <c r="FG13" s="416"/>
      <c r="FH13" s="416"/>
      <c r="FI13" s="416"/>
      <c r="FJ13" s="416"/>
      <c r="FK13" s="416"/>
      <c r="FL13" s="416"/>
      <c r="FM13" s="416"/>
      <c r="FN13" s="416"/>
      <c r="FO13" s="416"/>
      <c r="FP13" s="416"/>
      <c r="FQ13" s="416"/>
      <c r="FR13" s="416"/>
      <c r="FS13" s="416"/>
      <c r="FT13" s="416"/>
      <c r="FU13" s="416"/>
      <c r="FV13" s="416"/>
      <c r="FW13" s="416"/>
      <c r="FX13" s="416"/>
      <c r="FY13" s="416"/>
      <c r="FZ13" s="416"/>
      <c r="GA13" s="416"/>
      <c r="GB13" s="416"/>
      <c r="GC13" s="416"/>
      <c r="GD13" s="416"/>
      <c r="GE13" s="416"/>
      <c r="GF13" s="416"/>
      <c r="GG13" s="416"/>
      <c r="GH13" s="416"/>
      <c r="GI13" s="416"/>
      <c r="GJ13" s="416"/>
      <c r="GK13" s="416"/>
      <c r="GL13" s="416"/>
      <c r="GM13" s="416"/>
      <c r="GN13" s="416"/>
      <c r="GO13" s="416"/>
      <c r="GP13" s="416"/>
      <c r="GQ13" s="416"/>
      <c r="GR13" s="416"/>
      <c r="GS13" s="416"/>
      <c r="GT13" s="416"/>
      <c r="GU13" s="416"/>
      <c r="GV13" s="416"/>
      <c r="GW13" s="416"/>
      <c r="GX13" s="416"/>
      <c r="GY13" s="416"/>
      <c r="GZ13" s="416"/>
      <c r="HA13" s="416"/>
      <c r="HB13" s="416"/>
      <c r="HC13" s="416"/>
      <c r="HD13" s="416"/>
      <c r="HE13" s="416"/>
      <c r="HF13" s="416"/>
      <c r="HG13" s="416"/>
      <c r="HH13" s="416"/>
      <c r="HI13" s="416"/>
      <c r="HJ13" s="416"/>
      <c r="HK13" s="416"/>
      <c r="HL13" s="416"/>
      <c r="HM13" s="416"/>
      <c r="HN13" s="416"/>
      <c r="HO13" s="416"/>
      <c r="HP13" s="416"/>
      <c r="HQ13" s="416"/>
      <c r="HR13" s="416"/>
      <c r="HS13" s="416"/>
      <c r="HT13" s="416"/>
      <c r="HU13" s="416"/>
      <c r="HV13" s="416"/>
      <c r="HW13" s="416"/>
      <c r="HX13" s="416"/>
      <c r="HY13" s="416"/>
      <c r="HZ13" s="416"/>
      <c r="IA13" s="416"/>
      <c r="IB13" s="416"/>
      <c r="IC13" s="416"/>
      <c r="ID13" s="416"/>
      <c r="IE13" s="416"/>
      <c r="IF13" s="416"/>
      <c r="IG13" s="416"/>
      <c r="IH13" s="416"/>
      <c r="II13" s="416"/>
      <c r="IJ13" s="416"/>
      <c r="IK13" s="416"/>
      <c r="IL13" s="416"/>
      <c r="IM13" s="416"/>
      <c r="IN13" s="416"/>
      <c r="IO13" s="416"/>
      <c r="IP13" s="416"/>
      <c r="IQ13" s="416"/>
      <c r="IR13" s="416"/>
      <c r="IS13" s="416"/>
      <c r="IT13" s="416"/>
      <c r="IU13" s="416"/>
      <c r="IV13" s="416"/>
      <c r="IW13" s="416"/>
      <c r="IX13" s="416"/>
      <c r="IY13" s="416"/>
      <c r="IZ13" s="416"/>
      <c r="JA13" s="416"/>
      <c r="JB13" s="416"/>
      <c r="JC13" s="416"/>
      <c r="JD13" s="416"/>
      <c r="JE13" s="416"/>
      <c r="JF13" s="416"/>
      <c r="JG13" s="416"/>
      <c r="JH13" s="416"/>
      <c r="JI13" s="416"/>
      <c r="JJ13" s="416"/>
      <c r="JK13" s="416"/>
      <c r="JL13" s="416"/>
      <c r="JM13" s="416"/>
      <c r="JN13" s="416"/>
      <c r="JO13" s="416"/>
      <c r="JP13" s="416"/>
      <c r="JQ13" s="416"/>
      <c r="JR13" s="416"/>
      <c r="JS13" s="416"/>
      <c r="JT13" s="416"/>
      <c r="JU13" s="416"/>
      <c r="JV13" s="416"/>
      <c r="JW13" s="416"/>
      <c r="JX13" s="416"/>
      <c r="JY13" s="416"/>
      <c r="JZ13" s="416"/>
      <c r="KA13" s="416"/>
      <c r="KB13" s="416"/>
      <c r="KC13" s="416"/>
      <c r="KD13" s="416"/>
      <c r="KE13" s="416"/>
      <c r="KF13" s="416"/>
      <c r="KG13" s="416"/>
      <c r="KH13" s="416"/>
      <c r="KI13" s="416"/>
      <c r="KJ13" s="416"/>
      <c r="KK13" s="416"/>
      <c r="KL13" s="416"/>
      <c r="KM13" s="416"/>
      <c r="KN13" s="416"/>
      <c r="KO13" s="416"/>
      <c r="KP13" s="416"/>
      <c r="KQ13" s="416"/>
      <c r="KR13" s="416"/>
      <c r="KS13" s="416"/>
      <c r="KT13" s="416"/>
      <c r="KU13" s="416"/>
      <c r="KV13" s="416"/>
      <c r="KW13" s="416"/>
      <c r="KX13" s="416"/>
      <c r="KY13" s="416"/>
      <c r="KZ13" s="416"/>
      <c r="LA13" s="416"/>
      <c r="LB13" s="416"/>
      <c r="LC13" s="416"/>
      <c r="LD13" s="416"/>
      <c r="LE13" s="416"/>
      <c r="LF13" s="416"/>
      <c r="LG13" s="416"/>
      <c r="LH13" s="416"/>
      <c r="LI13" s="416"/>
      <c r="LJ13" s="416"/>
      <c r="LK13" s="416"/>
      <c r="LL13" s="416"/>
      <c r="LM13" s="416"/>
      <c r="LN13" s="416"/>
      <c r="LO13" s="416"/>
      <c r="LP13" s="416"/>
      <c r="LQ13" s="416"/>
      <c r="LR13" s="416"/>
      <c r="LS13" s="416"/>
      <c r="LT13" s="416"/>
      <c r="LU13" s="416"/>
      <c r="LV13" s="416"/>
      <c r="LW13" s="416"/>
      <c r="LX13" s="416"/>
      <c r="LY13" s="416"/>
      <c r="LZ13" s="416"/>
      <c r="MA13" s="416"/>
      <c r="MB13" s="416"/>
      <c r="MC13" s="416"/>
      <c r="MD13" s="416"/>
      <c r="ME13" s="416"/>
      <c r="MF13" s="416"/>
      <c r="MG13" s="416"/>
      <c r="MH13" s="416"/>
      <c r="MI13" s="416"/>
      <c r="MJ13" s="416"/>
      <c r="MK13" s="416"/>
      <c r="ML13" s="416"/>
      <c r="MM13" s="416"/>
      <c r="MN13" s="416"/>
      <c r="MO13" s="416"/>
      <c r="MP13" s="416"/>
      <c r="MQ13" s="416"/>
      <c r="MR13" s="416"/>
      <c r="MS13" s="416"/>
      <c r="MT13" s="416"/>
      <c r="MU13" s="416"/>
      <c r="MV13" s="416"/>
      <c r="MW13" s="416"/>
      <c r="MX13" s="416"/>
      <c r="MY13" s="416"/>
      <c r="MZ13" s="416"/>
      <c r="NA13" s="416"/>
      <c r="NB13" s="416"/>
      <c r="NC13" s="416"/>
      <c r="ND13" s="416"/>
      <c r="NE13" s="416"/>
      <c r="NF13" s="416"/>
      <c r="NG13" s="416"/>
      <c r="NH13" s="416"/>
      <c r="NI13" s="416"/>
      <c r="NJ13" s="416"/>
      <c r="NK13" s="416"/>
      <c r="NL13" s="416"/>
      <c r="NM13" s="416"/>
      <c r="NN13" s="416"/>
      <c r="NO13" s="416"/>
      <c r="NP13" s="416"/>
      <c r="NQ13" s="416"/>
      <c r="NR13" s="416"/>
      <c r="NS13" s="416"/>
      <c r="NT13" s="416"/>
      <c r="NU13" s="416"/>
      <c r="NV13" s="416"/>
      <c r="NW13" s="416"/>
      <c r="NX13" s="416"/>
      <c r="NY13" s="416"/>
      <c r="NZ13" s="416"/>
      <c r="OA13" s="416"/>
      <c r="OB13" s="416"/>
      <c r="OC13" s="416"/>
      <c r="OD13" s="416"/>
      <c r="OE13" s="416"/>
      <c r="OF13" s="416"/>
      <c r="OG13" s="416"/>
      <c r="OH13" s="416"/>
      <c r="OI13" s="416"/>
      <c r="OJ13" s="416"/>
      <c r="OK13" s="416"/>
      <c r="OL13" s="416"/>
      <c r="OM13" s="416"/>
      <c r="ON13" s="416"/>
      <c r="OO13" s="416"/>
      <c r="OP13" s="416"/>
      <c r="OQ13" s="416"/>
      <c r="OR13" s="416"/>
      <c r="OS13" s="416"/>
      <c r="OT13" s="416"/>
      <c r="OU13" s="416"/>
      <c r="OV13" s="416"/>
      <c r="OW13" s="416"/>
      <c r="OX13" s="416"/>
      <c r="OY13" s="416"/>
      <c r="OZ13" s="416"/>
      <c r="PA13" s="416"/>
      <c r="PB13" s="416"/>
      <c r="PC13" s="416"/>
      <c r="PD13" s="416"/>
      <c r="PE13" s="416"/>
      <c r="PF13" s="416"/>
      <c r="PG13" s="416"/>
      <c r="PH13" s="416"/>
      <c r="PI13" s="416"/>
      <c r="PJ13" s="416"/>
      <c r="PK13" s="416"/>
      <c r="PL13" s="416"/>
      <c r="PM13" s="416"/>
      <c r="PN13" s="416"/>
      <c r="PO13" s="416"/>
      <c r="PP13" s="416"/>
      <c r="PQ13" s="416"/>
      <c r="PR13" s="416"/>
      <c r="PS13" s="416"/>
      <c r="PT13" s="416"/>
      <c r="PU13" s="416"/>
      <c r="PV13" s="416"/>
      <c r="PW13" s="416"/>
      <c r="PX13" s="416"/>
      <c r="PY13" s="416"/>
      <c r="PZ13" s="416"/>
      <c r="QA13" s="416"/>
      <c r="QB13" s="416"/>
      <c r="QC13" s="416"/>
      <c r="QD13" s="416"/>
      <c r="QE13" s="416"/>
      <c r="QF13" s="416"/>
      <c r="QG13" s="416"/>
      <c r="QH13" s="416"/>
      <c r="QI13" s="416"/>
      <c r="QJ13" s="416"/>
      <c r="QK13" s="416"/>
      <c r="QL13" s="416"/>
      <c r="QM13" s="416"/>
      <c r="QN13" s="416"/>
      <c r="QO13" s="416"/>
      <c r="QP13" s="416"/>
      <c r="QQ13" s="416"/>
      <c r="QR13" s="416"/>
      <c r="QS13" s="416"/>
      <c r="QT13" s="416"/>
      <c r="QU13" s="416"/>
      <c r="QV13" s="416"/>
      <c r="QW13" s="416"/>
      <c r="QX13" s="416"/>
      <c r="QY13" s="416"/>
      <c r="QZ13" s="416"/>
      <c r="RA13" s="416"/>
      <c r="RB13" s="416"/>
      <c r="RC13" s="416"/>
      <c r="RD13" s="416"/>
      <c r="RE13" s="416"/>
      <c r="RF13" s="416"/>
      <c r="RG13" s="416"/>
      <c r="RH13" s="416"/>
      <c r="RI13" s="416"/>
      <c r="RJ13" s="416"/>
      <c r="RK13" s="416"/>
      <c r="RL13" s="416"/>
      <c r="RM13" s="416"/>
      <c r="RN13" s="416"/>
      <c r="RO13" s="416"/>
      <c r="RP13" s="416"/>
      <c r="RQ13" s="416"/>
      <c r="RR13" s="416"/>
      <c r="RS13" s="416"/>
      <c r="RT13" s="416"/>
      <c r="RU13" s="416"/>
      <c r="RV13" s="416"/>
      <c r="RW13" s="416"/>
      <c r="RX13" s="416"/>
      <c r="RY13" s="416"/>
      <c r="RZ13" s="416"/>
      <c r="SA13" s="416"/>
      <c r="SB13" s="416"/>
      <c r="SC13" s="416"/>
      <c r="SD13" s="416"/>
      <c r="SE13" s="416"/>
      <c r="SF13" s="416"/>
      <c r="SG13" s="416"/>
      <c r="SH13" s="416"/>
      <c r="SI13" s="416"/>
      <c r="SJ13" s="416"/>
      <c r="SK13" s="416"/>
      <c r="SL13" s="416"/>
    </row>
    <row r="14" spans="1:506" s="38" customFormat="1" ht="14.95" customHeight="1" thickBot="1" x14ac:dyDescent="0.35">
      <c r="A14" s="154" t="s">
        <v>160</v>
      </c>
      <c r="B14" s="155" t="s">
        <v>73</v>
      </c>
      <c r="C14" s="152" t="s">
        <v>540</v>
      </c>
      <c r="D14" s="153" t="s">
        <v>153</v>
      </c>
      <c r="E14" s="153" t="s">
        <v>8</v>
      </c>
      <c r="F14" s="153">
        <v>33</v>
      </c>
      <c r="G14" s="153">
        <v>15</v>
      </c>
      <c r="H14" s="454">
        <v>1</v>
      </c>
      <c r="I14" s="454">
        <v>0</v>
      </c>
      <c r="J14" s="454">
        <v>5</v>
      </c>
      <c r="K14" s="454">
        <v>4</v>
      </c>
      <c r="L14" s="454">
        <v>0</v>
      </c>
      <c r="M14" s="454">
        <v>0</v>
      </c>
      <c r="N14" s="454">
        <v>1</v>
      </c>
      <c r="O14" s="454">
        <v>0</v>
      </c>
      <c r="P14" s="454">
        <v>0</v>
      </c>
      <c r="Q14" s="454">
        <v>0</v>
      </c>
      <c r="R14" s="454">
        <v>3</v>
      </c>
      <c r="S14" s="156" t="s">
        <v>501</v>
      </c>
      <c r="T14" s="157" t="s">
        <v>294</v>
      </c>
      <c r="U14" s="158" t="s">
        <v>50</v>
      </c>
      <c r="V14" s="158" t="s">
        <v>325</v>
      </c>
      <c r="W14" s="160" t="s">
        <v>384</v>
      </c>
      <c r="X14" s="158">
        <v>1</v>
      </c>
      <c r="Y14" s="158">
        <v>1</v>
      </c>
      <c r="Z14" s="158">
        <v>0</v>
      </c>
      <c r="AA14" s="158">
        <v>0</v>
      </c>
      <c r="AB14" s="158">
        <v>1</v>
      </c>
      <c r="AC14" s="158">
        <v>1</v>
      </c>
      <c r="AD14" s="158">
        <v>0</v>
      </c>
      <c r="AE14" s="158">
        <v>0</v>
      </c>
      <c r="AF14" s="158">
        <v>0</v>
      </c>
      <c r="AG14" s="158">
        <v>0</v>
      </c>
      <c r="AH14" s="158">
        <v>0</v>
      </c>
      <c r="AI14" s="157">
        <v>0</v>
      </c>
      <c r="AJ14" s="158">
        <v>0</v>
      </c>
      <c r="AK14" s="158">
        <v>0</v>
      </c>
      <c r="AL14" s="158">
        <v>0</v>
      </c>
      <c r="AM14" s="157">
        <v>0</v>
      </c>
      <c r="AN14" s="416"/>
      <c r="AO14" s="416"/>
      <c r="AP14" s="416"/>
      <c r="AQ14" s="416"/>
      <c r="AR14" s="416"/>
      <c r="AS14" s="416"/>
      <c r="AT14" s="416"/>
      <c r="AU14" s="416"/>
      <c r="AV14" s="416"/>
      <c r="AW14" s="416"/>
      <c r="AX14" s="416"/>
      <c r="AY14" s="416"/>
      <c r="AZ14" s="416"/>
      <c r="BA14" s="416"/>
      <c r="BB14" s="416"/>
      <c r="BC14" s="416"/>
      <c r="BD14" s="416"/>
      <c r="BE14" s="416"/>
      <c r="BF14" s="416"/>
      <c r="BG14" s="416"/>
      <c r="BH14" s="416"/>
      <c r="BI14" s="416"/>
      <c r="BJ14" s="416"/>
      <c r="BK14" s="416"/>
      <c r="BL14" s="416"/>
      <c r="BM14" s="416"/>
      <c r="BN14" s="416"/>
      <c r="BO14" s="416"/>
      <c r="BP14" s="416"/>
      <c r="BQ14" s="416"/>
      <c r="BR14" s="416"/>
      <c r="BS14" s="416"/>
      <c r="BT14" s="416"/>
      <c r="BU14" s="416"/>
      <c r="BV14" s="416"/>
      <c r="BW14" s="416"/>
      <c r="BX14" s="416"/>
      <c r="BY14" s="416"/>
      <c r="BZ14" s="416"/>
      <c r="CA14" s="416"/>
      <c r="CB14" s="416"/>
      <c r="CC14" s="416"/>
      <c r="CD14" s="416"/>
      <c r="CE14" s="416"/>
      <c r="CF14" s="416"/>
      <c r="CG14" s="416"/>
      <c r="CH14" s="416"/>
      <c r="CI14" s="416"/>
      <c r="CJ14" s="416"/>
      <c r="CK14" s="416"/>
      <c r="CL14" s="416"/>
      <c r="CM14" s="416"/>
      <c r="CN14" s="416"/>
      <c r="CO14" s="416"/>
      <c r="CP14" s="416"/>
      <c r="CQ14" s="416"/>
      <c r="CR14" s="416"/>
      <c r="CS14" s="416"/>
      <c r="CT14" s="416"/>
      <c r="CU14" s="416"/>
      <c r="CV14" s="416"/>
      <c r="CW14" s="416"/>
      <c r="CX14" s="416"/>
      <c r="CY14" s="416"/>
      <c r="CZ14" s="416"/>
      <c r="DA14" s="416"/>
      <c r="DB14" s="416"/>
      <c r="DC14" s="416"/>
      <c r="DD14" s="416"/>
      <c r="DE14" s="416"/>
      <c r="DF14" s="416"/>
      <c r="DG14" s="416"/>
      <c r="DH14" s="416"/>
      <c r="DI14" s="416"/>
      <c r="DJ14" s="416"/>
      <c r="DK14" s="416"/>
      <c r="DL14" s="416"/>
      <c r="DM14" s="416"/>
      <c r="DN14" s="416"/>
      <c r="DO14" s="416"/>
      <c r="DP14" s="416"/>
      <c r="DQ14" s="416"/>
      <c r="DR14" s="416"/>
      <c r="DS14" s="416"/>
      <c r="DT14" s="416"/>
      <c r="DU14" s="416"/>
      <c r="DV14" s="416"/>
      <c r="DW14" s="416"/>
      <c r="DX14" s="416"/>
      <c r="DY14" s="416"/>
      <c r="DZ14" s="416"/>
      <c r="EA14" s="416"/>
      <c r="EB14" s="416"/>
      <c r="EC14" s="416"/>
      <c r="ED14" s="416"/>
      <c r="EE14" s="416"/>
      <c r="EF14" s="416"/>
      <c r="EG14" s="416"/>
      <c r="EH14" s="416"/>
      <c r="EI14" s="416"/>
      <c r="EJ14" s="416"/>
      <c r="EK14" s="416"/>
      <c r="EL14" s="416"/>
      <c r="EM14" s="416"/>
      <c r="EN14" s="416"/>
      <c r="EO14" s="416"/>
      <c r="EP14" s="416"/>
      <c r="EQ14" s="416"/>
      <c r="ER14" s="416"/>
      <c r="ES14" s="416"/>
      <c r="ET14" s="416"/>
      <c r="EU14" s="416"/>
      <c r="EV14" s="416"/>
      <c r="EW14" s="416"/>
      <c r="EX14" s="416"/>
      <c r="EY14" s="416"/>
      <c r="EZ14" s="416"/>
      <c r="FA14" s="416"/>
      <c r="FB14" s="416"/>
      <c r="FC14" s="416"/>
      <c r="FD14" s="416"/>
      <c r="FE14" s="416"/>
      <c r="FF14" s="416"/>
      <c r="FG14" s="416"/>
      <c r="FH14" s="416"/>
      <c r="FI14" s="416"/>
      <c r="FJ14" s="416"/>
      <c r="FK14" s="416"/>
      <c r="FL14" s="416"/>
      <c r="FM14" s="416"/>
      <c r="FN14" s="416"/>
      <c r="FO14" s="416"/>
      <c r="FP14" s="416"/>
      <c r="FQ14" s="416"/>
      <c r="FR14" s="416"/>
      <c r="FS14" s="416"/>
      <c r="FT14" s="416"/>
      <c r="FU14" s="416"/>
      <c r="FV14" s="416"/>
      <c r="FW14" s="416"/>
      <c r="FX14" s="416"/>
      <c r="FY14" s="416"/>
      <c r="FZ14" s="416"/>
      <c r="GA14" s="416"/>
      <c r="GB14" s="416"/>
      <c r="GC14" s="416"/>
      <c r="GD14" s="416"/>
      <c r="GE14" s="416"/>
      <c r="GF14" s="416"/>
      <c r="GG14" s="416"/>
      <c r="GH14" s="416"/>
      <c r="GI14" s="416"/>
      <c r="GJ14" s="416"/>
      <c r="GK14" s="416"/>
      <c r="GL14" s="416"/>
      <c r="GM14" s="416"/>
      <c r="GN14" s="416"/>
      <c r="GO14" s="416"/>
      <c r="GP14" s="416"/>
      <c r="GQ14" s="416"/>
      <c r="GR14" s="416"/>
      <c r="GS14" s="416"/>
      <c r="GT14" s="416"/>
      <c r="GU14" s="416"/>
      <c r="GV14" s="416"/>
      <c r="GW14" s="416"/>
      <c r="GX14" s="416"/>
      <c r="GY14" s="416"/>
      <c r="GZ14" s="416"/>
      <c r="HA14" s="416"/>
      <c r="HB14" s="416"/>
      <c r="HC14" s="416"/>
      <c r="HD14" s="416"/>
      <c r="HE14" s="416"/>
      <c r="HF14" s="416"/>
      <c r="HG14" s="416"/>
      <c r="HH14" s="416"/>
      <c r="HI14" s="416"/>
      <c r="HJ14" s="416"/>
      <c r="HK14" s="416"/>
      <c r="HL14" s="416"/>
      <c r="HM14" s="416"/>
      <c r="HN14" s="416"/>
      <c r="HO14" s="416"/>
      <c r="HP14" s="416"/>
      <c r="HQ14" s="416"/>
      <c r="HR14" s="416"/>
      <c r="HS14" s="416"/>
      <c r="HT14" s="416"/>
      <c r="HU14" s="416"/>
      <c r="HV14" s="416"/>
      <c r="HW14" s="416"/>
      <c r="HX14" s="416"/>
      <c r="HY14" s="416"/>
      <c r="HZ14" s="416"/>
      <c r="IA14" s="416"/>
      <c r="IB14" s="416"/>
      <c r="IC14" s="416"/>
      <c r="ID14" s="416"/>
      <c r="IE14" s="416"/>
      <c r="IF14" s="416"/>
      <c r="IG14" s="416"/>
      <c r="IH14" s="416"/>
      <c r="II14" s="416"/>
      <c r="IJ14" s="416"/>
      <c r="IK14" s="416"/>
      <c r="IL14" s="416"/>
      <c r="IM14" s="416"/>
      <c r="IN14" s="416"/>
      <c r="IO14" s="416"/>
      <c r="IP14" s="416"/>
      <c r="IQ14" s="416"/>
      <c r="IR14" s="416"/>
      <c r="IS14" s="416"/>
      <c r="IT14" s="416"/>
      <c r="IU14" s="416"/>
      <c r="IV14" s="416"/>
      <c r="IW14" s="416"/>
      <c r="IX14" s="416"/>
      <c r="IY14" s="416"/>
      <c r="IZ14" s="416"/>
      <c r="JA14" s="416"/>
      <c r="JB14" s="416"/>
      <c r="JC14" s="416"/>
      <c r="JD14" s="416"/>
      <c r="JE14" s="416"/>
      <c r="JF14" s="416"/>
      <c r="JG14" s="416"/>
      <c r="JH14" s="416"/>
      <c r="JI14" s="416"/>
      <c r="JJ14" s="416"/>
      <c r="JK14" s="416"/>
      <c r="JL14" s="416"/>
      <c r="JM14" s="416"/>
      <c r="JN14" s="416"/>
      <c r="JO14" s="416"/>
      <c r="JP14" s="416"/>
      <c r="JQ14" s="416"/>
      <c r="JR14" s="416"/>
      <c r="JS14" s="416"/>
      <c r="JT14" s="416"/>
      <c r="JU14" s="416"/>
      <c r="JV14" s="416"/>
      <c r="JW14" s="416"/>
      <c r="JX14" s="416"/>
      <c r="JY14" s="416"/>
      <c r="JZ14" s="416"/>
      <c r="KA14" s="416"/>
      <c r="KB14" s="416"/>
      <c r="KC14" s="416"/>
      <c r="KD14" s="416"/>
      <c r="KE14" s="416"/>
      <c r="KF14" s="416"/>
      <c r="KG14" s="416"/>
      <c r="KH14" s="416"/>
      <c r="KI14" s="416"/>
      <c r="KJ14" s="416"/>
      <c r="KK14" s="416"/>
      <c r="KL14" s="416"/>
      <c r="KM14" s="416"/>
      <c r="KN14" s="416"/>
      <c r="KO14" s="416"/>
      <c r="KP14" s="416"/>
      <c r="KQ14" s="416"/>
      <c r="KR14" s="416"/>
      <c r="KS14" s="416"/>
      <c r="KT14" s="416"/>
      <c r="KU14" s="416"/>
      <c r="KV14" s="416"/>
      <c r="KW14" s="416"/>
      <c r="KX14" s="416"/>
      <c r="KY14" s="416"/>
      <c r="KZ14" s="416"/>
      <c r="LA14" s="416"/>
      <c r="LB14" s="416"/>
      <c r="LC14" s="416"/>
      <c r="LD14" s="416"/>
      <c r="LE14" s="416"/>
      <c r="LF14" s="416"/>
      <c r="LG14" s="416"/>
      <c r="LH14" s="416"/>
      <c r="LI14" s="416"/>
      <c r="LJ14" s="416"/>
      <c r="LK14" s="416"/>
      <c r="LL14" s="416"/>
      <c r="LM14" s="416"/>
      <c r="LN14" s="416"/>
      <c r="LO14" s="416"/>
      <c r="LP14" s="416"/>
      <c r="LQ14" s="416"/>
      <c r="LR14" s="416"/>
      <c r="LS14" s="416"/>
      <c r="LT14" s="416"/>
      <c r="LU14" s="416"/>
      <c r="LV14" s="416"/>
      <c r="LW14" s="416"/>
      <c r="LX14" s="416"/>
      <c r="LY14" s="416"/>
      <c r="LZ14" s="416"/>
      <c r="MA14" s="416"/>
      <c r="MB14" s="416"/>
      <c r="MC14" s="416"/>
      <c r="MD14" s="416"/>
      <c r="ME14" s="416"/>
      <c r="MF14" s="416"/>
      <c r="MG14" s="416"/>
      <c r="MH14" s="416"/>
      <c r="MI14" s="416"/>
      <c r="MJ14" s="416"/>
      <c r="MK14" s="416"/>
      <c r="ML14" s="416"/>
      <c r="MM14" s="416"/>
      <c r="MN14" s="416"/>
      <c r="MO14" s="416"/>
      <c r="MP14" s="416"/>
      <c r="MQ14" s="416"/>
      <c r="MR14" s="416"/>
      <c r="MS14" s="416"/>
      <c r="MT14" s="416"/>
      <c r="MU14" s="416"/>
      <c r="MV14" s="416"/>
      <c r="MW14" s="416"/>
      <c r="MX14" s="416"/>
      <c r="MY14" s="416"/>
      <c r="MZ14" s="416"/>
      <c r="NA14" s="416"/>
      <c r="NB14" s="416"/>
      <c r="NC14" s="416"/>
      <c r="ND14" s="416"/>
      <c r="NE14" s="416"/>
      <c r="NF14" s="416"/>
      <c r="NG14" s="416"/>
      <c r="NH14" s="416"/>
      <c r="NI14" s="416"/>
      <c r="NJ14" s="416"/>
      <c r="NK14" s="416"/>
      <c r="NL14" s="416"/>
      <c r="NM14" s="416"/>
      <c r="NN14" s="416"/>
      <c r="NO14" s="416"/>
      <c r="NP14" s="416"/>
      <c r="NQ14" s="416"/>
      <c r="NR14" s="416"/>
      <c r="NS14" s="416"/>
      <c r="NT14" s="416"/>
      <c r="NU14" s="416"/>
      <c r="NV14" s="416"/>
      <c r="NW14" s="416"/>
      <c r="NX14" s="416"/>
      <c r="NY14" s="416"/>
      <c r="NZ14" s="416"/>
      <c r="OA14" s="416"/>
      <c r="OB14" s="416"/>
      <c r="OC14" s="416"/>
      <c r="OD14" s="416"/>
      <c r="OE14" s="416"/>
      <c r="OF14" s="416"/>
      <c r="OG14" s="416"/>
      <c r="OH14" s="416"/>
      <c r="OI14" s="416"/>
      <c r="OJ14" s="416"/>
      <c r="OK14" s="416"/>
      <c r="OL14" s="416"/>
      <c r="OM14" s="416"/>
      <c r="ON14" s="416"/>
      <c r="OO14" s="416"/>
      <c r="OP14" s="416"/>
      <c r="OQ14" s="416"/>
      <c r="OR14" s="416"/>
      <c r="OS14" s="416"/>
      <c r="OT14" s="416"/>
      <c r="OU14" s="416"/>
      <c r="OV14" s="416"/>
      <c r="OW14" s="416"/>
      <c r="OX14" s="416"/>
      <c r="OY14" s="416"/>
      <c r="OZ14" s="416"/>
      <c r="PA14" s="416"/>
      <c r="PB14" s="416"/>
      <c r="PC14" s="416"/>
      <c r="PD14" s="416"/>
      <c r="PE14" s="416"/>
      <c r="PF14" s="416"/>
      <c r="PG14" s="416"/>
      <c r="PH14" s="416"/>
      <c r="PI14" s="416"/>
      <c r="PJ14" s="416"/>
      <c r="PK14" s="416"/>
      <c r="PL14" s="416"/>
      <c r="PM14" s="416"/>
      <c r="PN14" s="416"/>
      <c r="PO14" s="416"/>
      <c r="PP14" s="416"/>
      <c r="PQ14" s="416"/>
      <c r="PR14" s="416"/>
      <c r="PS14" s="416"/>
      <c r="PT14" s="416"/>
      <c r="PU14" s="416"/>
      <c r="PV14" s="416"/>
      <c r="PW14" s="416"/>
      <c r="PX14" s="416"/>
      <c r="PY14" s="416"/>
      <c r="PZ14" s="416"/>
      <c r="QA14" s="416"/>
      <c r="QB14" s="416"/>
      <c r="QC14" s="416"/>
      <c r="QD14" s="416"/>
      <c r="QE14" s="416"/>
      <c r="QF14" s="416"/>
      <c r="QG14" s="416"/>
      <c r="QH14" s="416"/>
      <c r="QI14" s="416"/>
      <c r="QJ14" s="416"/>
      <c r="QK14" s="416"/>
      <c r="QL14" s="416"/>
      <c r="QM14" s="416"/>
      <c r="QN14" s="416"/>
      <c r="QO14" s="416"/>
      <c r="QP14" s="416"/>
      <c r="QQ14" s="416"/>
      <c r="QR14" s="416"/>
      <c r="QS14" s="416"/>
      <c r="QT14" s="416"/>
      <c r="QU14" s="416"/>
      <c r="QV14" s="416"/>
      <c r="QW14" s="416"/>
      <c r="QX14" s="416"/>
      <c r="QY14" s="416"/>
      <c r="QZ14" s="416"/>
      <c r="RA14" s="416"/>
      <c r="RB14" s="416"/>
      <c r="RC14" s="416"/>
      <c r="RD14" s="416"/>
      <c r="RE14" s="416"/>
      <c r="RF14" s="416"/>
      <c r="RG14" s="416"/>
      <c r="RH14" s="416"/>
      <c r="RI14" s="416"/>
      <c r="RJ14" s="416"/>
      <c r="RK14" s="416"/>
      <c r="RL14" s="416"/>
      <c r="RM14" s="416"/>
      <c r="RN14" s="416"/>
      <c r="RO14" s="416"/>
      <c r="RP14" s="416"/>
      <c r="RQ14" s="416"/>
      <c r="RR14" s="416"/>
      <c r="RS14" s="416"/>
      <c r="RT14" s="416"/>
      <c r="RU14" s="416"/>
      <c r="RV14" s="416"/>
      <c r="RW14" s="416"/>
      <c r="RX14" s="416"/>
      <c r="RY14" s="416"/>
      <c r="RZ14" s="416"/>
      <c r="SA14" s="416"/>
      <c r="SB14" s="416"/>
      <c r="SC14" s="416"/>
      <c r="SD14" s="416"/>
      <c r="SE14" s="416"/>
      <c r="SF14" s="416"/>
      <c r="SG14" s="416"/>
      <c r="SH14" s="416"/>
      <c r="SI14" s="416"/>
      <c r="SJ14" s="416"/>
      <c r="SK14" s="416"/>
      <c r="SL14" s="416"/>
    </row>
    <row r="15" spans="1:506" s="13" customFormat="1" ht="14.95" customHeight="1" thickBot="1" x14ac:dyDescent="0.3">
      <c r="A15" s="161" t="s">
        <v>244</v>
      </c>
      <c r="B15" s="162" t="s">
        <v>73</v>
      </c>
      <c r="C15" s="147" t="s">
        <v>4</v>
      </c>
      <c r="D15" s="148" t="s">
        <v>12</v>
      </c>
      <c r="E15" s="148" t="s">
        <v>8</v>
      </c>
      <c r="F15" s="148">
        <v>24</v>
      </c>
      <c r="G15" s="148">
        <v>14</v>
      </c>
      <c r="H15" s="453">
        <v>1</v>
      </c>
      <c r="I15" s="453">
        <v>0</v>
      </c>
      <c r="J15" s="453">
        <v>4</v>
      </c>
      <c r="K15" s="453">
        <v>2</v>
      </c>
      <c r="L15" s="453">
        <v>0</v>
      </c>
      <c r="M15" s="453">
        <v>0</v>
      </c>
      <c r="N15" s="453">
        <v>0</v>
      </c>
      <c r="O15" s="453">
        <v>0</v>
      </c>
      <c r="P15" s="453">
        <v>0</v>
      </c>
      <c r="Q15" s="453">
        <v>0</v>
      </c>
      <c r="R15" s="453">
        <v>2</v>
      </c>
      <c r="S15" s="337" t="s">
        <v>532</v>
      </c>
      <c r="T15" s="172" t="s">
        <v>522</v>
      </c>
      <c r="U15" s="164" t="s">
        <v>523</v>
      </c>
      <c r="V15" s="164" t="s">
        <v>471</v>
      </c>
      <c r="W15" s="166" t="s">
        <v>296</v>
      </c>
      <c r="X15" s="164">
        <v>1</v>
      </c>
      <c r="Y15" s="164">
        <v>1</v>
      </c>
      <c r="Z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4">
        <v>0</v>
      </c>
      <c r="AF15" s="164">
        <v>1</v>
      </c>
      <c r="AG15" s="164">
        <v>1</v>
      </c>
      <c r="AH15" s="164">
        <v>0</v>
      </c>
      <c r="AI15" s="172">
        <v>0</v>
      </c>
      <c r="AJ15" s="164">
        <v>0</v>
      </c>
      <c r="AK15" s="164">
        <v>0</v>
      </c>
      <c r="AL15" s="164">
        <v>0</v>
      </c>
      <c r="AM15" s="172">
        <v>0</v>
      </c>
      <c r="AN15" s="416"/>
      <c r="AO15" s="416"/>
      <c r="AP15" s="416"/>
      <c r="AQ15" s="416"/>
      <c r="AR15" s="416"/>
      <c r="AS15" s="416"/>
      <c r="AT15" s="416"/>
      <c r="AU15" s="416"/>
      <c r="AV15" s="416"/>
      <c r="AW15" s="416"/>
      <c r="AX15" s="416"/>
      <c r="AY15" s="416"/>
      <c r="AZ15" s="416"/>
      <c r="BA15" s="416"/>
      <c r="BB15" s="416"/>
      <c r="BC15" s="416"/>
      <c r="BD15" s="416"/>
      <c r="BE15" s="416"/>
      <c r="BF15" s="416"/>
      <c r="BG15" s="416"/>
      <c r="BH15" s="416"/>
      <c r="BI15" s="416"/>
      <c r="BJ15" s="416"/>
      <c r="BK15" s="416"/>
      <c r="BL15" s="416"/>
      <c r="BM15" s="416"/>
      <c r="BN15" s="416"/>
      <c r="BO15" s="416"/>
      <c r="BP15" s="416"/>
      <c r="BQ15" s="416"/>
      <c r="BR15" s="416"/>
      <c r="BS15" s="416"/>
      <c r="BT15" s="416"/>
      <c r="BU15" s="416"/>
      <c r="BV15" s="416"/>
      <c r="BW15" s="416"/>
      <c r="BX15" s="416"/>
      <c r="BY15" s="416"/>
      <c r="BZ15" s="416"/>
      <c r="CA15" s="416"/>
      <c r="CB15" s="416"/>
      <c r="CC15" s="416"/>
      <c r="CD15" s="416"/>
      <c r="CE15" s="416"/>
      <c r="CF15" s="416"/>
      <c r="CG15" s="416"/>
      <c r="CH15" s="416"/>
      <c r="CI15" s="416"/>
      <c r="CJ15" s="416"/>
      <c r="CK15" s="416"/>
      <c r="CL15" s="416"/>
      <c r="CM15" s="416"/>
      <c r="CN15" s="416"/>
      <c r="CO15" s="416"/>
      <c r="CP15" s="416"/>
      <c r="CQ15" s="416"/>
      <c r="CR15" s="416"/>
      <c r="CS15" s="416"/>
      <c r="CT15" s="416"/>
      <c r="CU15" s="416"/>
      <c r="CV15" s="416"/>
      <c r="CW15" s="416"/>
      <c r="CX15" s="416"/>
      <c r="CY15" s="416"/>
      <c r="CZ15" s="416"/>
      <c r="DA15" s="416"/>
      <c r="DB15" s="416"/>
      <c r="DC15" s="416"/>
      <c r="DD15" s="416"/>
      <c r="DE15" s="416"/>
      <c r="DF15" s="416"/>
      <c r="DG15" s="416"/>
      <c r="DH15" s="416"/>
      <c r="DI15" s="416"/>
      <c r="DJ15" s="416"/>
      <c r="DK15" s="416"/>
      <c r="DL15" s="416"/>
      <c r="DM15" s="416"/>
      <c r="DN15" s="416"/>
      <c r="DO15" s="416"/>
      <c r="DP15" s="416"/>
      <c r="DQ15" s="416"/>
      <c r="DR15" s="416"/>
      <c r="DS15" s="416"/>
      <c r="DT15" s="416"/>
      <c r="DU15" s="416"/>
      <c r="DV15" s="416"/>
      <c r="DW15" s="416"/>
      <c r="DX15" s="416"/>
      <c r="DY15" s="416"/>
      <c r="DZ15" s="416"/>
      <c r="EA15" s="416"/>
      <c r="EB15" s="416"/>
      <c r="EC15" s="416"/>
      <c r="ED15" s="416"/>
      <c r="EE15" s="416"/>
      <c r="EF15" s="416"/>
      <c r="EG15" s="416"/>
      <c r="EH15" s="416"/>
      <c r="EI15" s="416"/>
      <c r="EJ15" s="416"/>
      <c r="EK15" s="416"/>
      <c r="EL15" s="416"/>
      <c r="EM15" s="416"/>
      <c r="EN15" s="416"/>
      <c r="EO15" s="416"/>
      <c r="EP15" s="416"/>
      <c r="EQ15" s="416"/>
      <c r="ER15" s="416"/>
      <c r="ES15" s="416"/>
      <c r="ET15" s="416"/>
      <c r="EU15" s="416"/>
      <c r="EV15" s="416"/>
      <c r="EW15" s="416"/>
      <c r="EX15" s="416"/>
      <c r="EY15" s="416"/>
      <c r="EZ15" s="416"/>
      <c r="FA15" s="416"/>
      <c r="FB15" s="416"/>
      <c r="FC15" s="416"/>
      <c r="FD15" s="416"/>
      <c r="FE15" s="416"/>
      <c r="FF15" s="416"/>
      <c r="FG15" s="416"/>
      <c r="FH15" s="416"/>
      <c r="FI15" s="416"/>
      <c r="FJ15" s="416"/>
      <c r="FK15" s="416"/>
      <c r="FL15" s="416"/>
      <c r="FM15" s="416"/>
      <c r="FN15" s="416"/>
      <c r="FO15" s="416"/>
      <c r="FP15" s="416"/>
      <c r="FQ15" s="416"/>
      <c r="FR15" s="416"/>
      <c r="FS15" s="416"/>
      <c r="FT15" s="416"/>
      <c r="FU15" s="416"/>
      <c r="FV15" s="416"/>
      <c r="FW15" s="416"/>
      <c r="FX15" s="416"/>
      <c r="FY15" s="416"/>
      <c r="FZ15" s="416"/>
      <c r="GA15" s="416"/>
      <c r="GB15" s="416"/>
      <c r="GC15" s="416"/>
      <c r="GD15" s="416"/>
      <c r="GE15" s="416"/>
      <c r="GF15" s="416"/>
      <c r="GG15" s="416"/>
      <c r="GH15" s="416"/>
      <c r="GI15" s="416"/>
      <c r="GJ15" s="416"/>
      <c r="GK15" s="416"/>
      <c r="GL15" s="416"/>
      <c r="GM15" s="416"/>
      <c r="GN15" s="416"/>
      <c r="GO15" s="416"/>
      <c r="GP15" s="416"/>
      <c r="GQ15" s="416"/>
      <c r="GR15" s="416"/>
      <c r="GS15" s="416"/>
      <c r="GT15" s="416"/>
      <c r="GU15" s="416"/>
      <c r="GV15" s="416"/>
      <c r="GW15" s="416"/>
      <c r="GX15" s="416"/>
      <c r="GY15" s="416"/>
      <c r="GZ15" s="416"/>
      <c r="HA15" s="416"/>
      <c r="HB15" s="416"/>
      <c r="HC15" s="416"/>
      <c r="HD15" s="416"/>
      <c r="HE15" s="416"/>
      <c r="HF15" s="416"/>
      <c r="HG15" s="416"/>
      <c r="HH15" s="416"/>
      <c r="HI15" s="416"/>
      <c r="HJ15" s="416"/>
      <c r="HK15" s="416"/>
      <c r="HL15" s="416"/>
      <c r="HM15" s="416"/>
      <c r="HN15" s="416"/>
      <c r="HO15" s="416"/>
      <c r="HP15" s="416"/>
      <c r="HQ15" s="416"/>
      <c r="HR15" s="416"/>
      <c r="HS15" s="416"/>
      <c r="HT15" s="416"/>
      <c r="HU15" s="416"/>
      <c r="HV15" s="416"/>
      <c r="HW15" s="416"/>
      <c r="HX15" s="416"/>
      <c r="HY15" s="416"/>
      <c r="HZ15" s="416"/>
      <c r="IA15" s="416"/>
      <c r="IB15" s="416"/>
      <c r="IC15" s="416"/>
      <c r="ID15" s="416"/>
      <c r="IE15" s="416"/>
      <c r="IF15" s="416"/>
      <c r="IG15" s="416"/>
      <c r="IH15" s="416"/>
      <c r="II15" s="416"/>
      <c r="IJ15" s="416"/>
      <c r="IK15" s="416"/>
      <c r="IL15" s="416"/>
      <c r="IM15" s="416"/>
      <c r="IN15" s="416"/>
      <c r="IO15" s="416"/>
      <c r="IP15" s="416"/>
      <c r="IQ15" s="416"/>
      <c r="IR15" s="416"/>
      <c r="IS15" s="416"/>
      <c r="IT15" s="416"/>
      <c r="IU15" s="416"/>
      <c r="IV15" s="416"/>
      <c r="IW15" s="416"/>
      <c r="IX15" s="416"/>
      <c r="IY15" s="416"/>
      <c r="IZ15" s="416"/>
      <c r="JA15" s="416"/>
      <c r="JB15" s="416"/>
      <c r="JC15" s="416"/>
      <c r="JD15" s="416"/>
      <c r="JE15" s="416"/>
      <c r="JF15" s="416"/>
      <c r="JG15" s="416"/>
      <c r="JH15" s="416"/>
      <c r="JI15" s="416"/>
      <c r="JJ15" s="416"/>
      <c r="JK15" s="416"/>
      <c r="JL15" s="416"/>
      <c r="JM15" s="416"/>
      <c r="JN15" s="416"/>
      <c r="JO15" s="416"/>
      <c r="JP15" s="416"/>
      <c r="JQ15" s="416"/>
      <c r="JR15" s="416"/>
      <c r="JS15" s="416"/>
      <c r="JT15" s="416"/>
      <c r="JU15" s="416"/>
      <c r="JV15" s="416"/>
      <c r="JW15" s="416"/>
      <c r="JX15" s="416"/>
      <c r="JY15" s="416"/>
      <c r="JZ15" s="416"/>
      <c r="KA15" s="416"/>
      <c r="KB15" s="416"/>
      <c r="KC15" s="416"/>
      <c r="KD15" s="416"/>
      <c r="KE15" s="416"/>
      <c r="KF15" s="416"/>
      <c r="KG15" s="416"/>
      <c r="KH15" s="416"/>
      <c r="KI15" s="416"/>
      <c r="KJ15" s="416"/>
      <c r="KK15" s="416"/>
      <c r="KL15" s="416"/>
      <c r="KM15" s="416"/>
      <c r="KN15" s="416"/>
      <c r="KO15" s="416"/>
      <c r="KP15" s="416"/>
      <c r="KQ15" s="416"/>
      <c r="KR15" s="416"/>
      <c r="KS15" s="416"/>
      <c r="KT15" s="416"/>
      <c r="KU15" s="416"/>
      <c r="KV15" s="416"/>
      <c r="KW15" s="416"/>
      <c r="KX15" s="416"/>
      <c r="KY15" s="416"/>
      <c r="KZ15" s="416"/>
      <c r="LA15" s="416"/>
      <c r="LB15" s="416"/>
      <c r="LC15" s="416"/>
      <c r="LD15" s="416"/>
      <c r="LE15" s="416"/>
      <c r="LF15" s="416"/>
      <c r="LG15" s="416"/>
      <c r="LH15" s="416"/>
      <c r="LI15" s="416"/>
      <c r="LJ15" s="416"/>
      <c r="LK15" s="416"/>
      <c r="LL15" s="416"/>
      <c r="LM15" s="416"/>
      <c r="LN15" s="416"/>
      <c r="LO15" s="416"/>
      <c r="LP15" s="416"/>
      <c r="LQ15" s="416"/>
      <c r="LR15" s="416"/>
      <c r="LS15" s="416"/>
      <c r="LT15" s="416"/>
      <c r="LU15" s="416"/>
      <c r="LV15" s="416"/>
      <c r="LW15" s="416"/>
      <c r="LX15" s="416"/>
      <c r="LY15" s="416"/>
      <c r="LZ15" s="416"/>
      <c r="MA15" s="416"/>
      <c r="MB15" s="416"/>
      <c r="MC15" s="416"/>
      <c r="MD15" s="416"/>
      <c r="ME15" s="416"/>
      <c r="MF15" s="416"/>
      <c r="MG15" s="416"/>
      <c r="MH15" s="416"/>
      <c r="MI15" s="416"/>
      <c r="MJ15" s="416"/>
      <c r="MK15" s="416"/>
      <c r="ML15" s="416"/>
      <c r="MM15" s="416"/>
      <c r="MN15" s="416"/>
      <c r="MO15" s="416"/>
      <c r="MP15" s="416"/>
      <c r="MQ15" s="416"/>
      <c r="MR15" s="416"/>
      <c r="MS15" s="416"/>
      <c r="MT15" s="416"/>
      <c r="MU15" s="416"/>
      <c r="MV15" s="416"/>
      <c r="MW15" s="416"/>
      <c r="MX15" s="416"/>
      <c r="MY15" s="416"/>
      <c r="MZ15" s="416"/>
      <c r="NA15" s="416"/>
      <c r="NB15" s="416"/>
      <c r="NC15" s="416"/>
      <c r="ND15" s="416"/>
      <c r="NE15" s="416"/>
      <c r="NF15" s="416"/>
      <c r="NG15" s="416"/>
      <c r="NH15" s="416"/>
      <c r="NI15" s="416"/>
      <c r="NJ15" s="416"/>
      <c r="NK15" s="416"/>
      <c r="NL15" s="416"/>
      <c r="NM15" s="416"/>
      <c r="NN15" s="416"/>
      <c r="NO15" s="416"/>
      <c r="NP15" s="416"/>
      <c r="NQ15" s="416"/>
      <c r="NR15" s="416"/>
      <c r="NS15" s="416"/>
      <c r="NT15" s="416"/>
      <c r="NU15" s="416"/>
      <c r="NV15" s="416"/>
      <c r="NW15" s="416"/>
      <c r="NX15" s="416"/>
      <c r="NY15" s="416"/>
      <c r="NZ15" s="416"/>
      <c r="OA15" s="416"/>
      <c r="OB15" s="416"/>
      <c r="OC15" s="416"/>
      <c r="OD15" s="416"/>
      <c r="OE15" s="416"/>
      <c r="OF15" s="416"/>
      <c r="OG15" s="416"/>
      <c r="OH15" s="416"/>
      <c r="OI15" s="416"/>
      <c r="OJ15" s="416"/>
      <c r="OK15" s="416"/>
      <c r="OL15" s="416"/>
      <c r="OM15" s="416"/>
      <c r="ON15" s="416"/>
      <c r="OO15" s="416"/>
      <c r="OP15" s="416"/>
      <c r="OQ15" s="416"/>
      <c r="OR15" s="416"/>
      <c r="OS15" s="416"/>
      <c r="OT15" s="416"/>
      <c r="OU15" s="416"/>
      <c r="OV15" s="416"/>
      <c r="OW15" s="416"/>
      <c r="OX15" s="416"/>
      <c r="OY15" s="416"/>
      <c r="OZ15" s="416"/>
      <c r="PA15" s="416"/>
      <c r="PB15" s="416"/>
      <c r="PC15" s="416"/>
      <c r="PD15" s="416"/>
      <c r="PE15" s="416"/>
      <c r="PF15" s="416"/>
      <c r="PG15" s="416"/>
      <c r="PH15" s="416"/>
      <c r="PI15" s="416"/>
      <c r="PJ15" s="416"/>
      <c r="PK15" s="416"/>
      <c r="PL15" s="416"/>
      <c r="PM15" s="416"/>
      <c r="PN15" s="416"/>
      <c r="PO15" s="416"/>
      <c r="PP15" s="416"/>
      <c r="PQ15" s="416"/>
      <c r="PR15" s="416"/>
      <c r="PS15" s="416"/>
      <c r="PT15" s="416"/>
      <c r="PU15" s="416"/>
      <c r="PV15" s="416"/>
      <c r="PW15" s="416"/>
      <c r="PX15" s="416"/>
      <c r="PY15" s="416"/>
      <c r="PZ15" s="416"/>
      <c r="QA15" s="416"/>
      <c r="QB15" s="416"/>
      <c r="QC15" s="416"/>
      <c r="QD15" s="416"/>
      <c r="QE15" s="416"/>
      <c r="QF15" s="416"/>
      <c r="QG15" s="416"/>
      <c r="QH15" s="416"/>
      <c r="QI15" s="416"/>
      <c r="QJ15" s="416"/>
      <c r="QK15" s="416"/>
      <c r="QL15" s="416"/>
      <c r="QM15" s="416"/>
      <c r="QN15" s="416"/>
      <c r="QO15" s="416"/>
      <c r="QP15" s="416"/>
      <c r="QQ15" s="416"/>
      <c r="QR15" s="416"/>
      <c r="QS15" s="416"/>
      <c r="QT15" s="416"/>
      <c r="QU15" s="416"/>
      <c r="QV15" s="416"/>
      <c r="QW15" s="416"/>
      <c r="QX15" s="416"/>
      <c r="QY15" s="416"/>
      <c r="QZ15" s="416"/>
      <c r="RA15" s="416"/>
      <c r="RB15" s="416"/>
      <c r="RC15" s="416"/>
      <c r="RD15" s="416"/>
      <c r="RE15" s="416"/>
      <c r="RF15" s="416"/>
      <c r="RG15" s="416"/>
      <c r="RH15" s="416"/>
      <c r="RI15" s="416"/>
      <c r="RJ15" s="416"/>
      <c r="RK15" s="416"/>
      <c r="RL15" s="416"/>
      <c r="RM15" s="416"/>
      <c r="RN15" s="416"/>
      <c r="RO15" s="416"/>
      <c r="RP15" s="416"/>
      <c r="RQ15" s="416"/>
      <c r="RR15" s="416"/>
      <c r="RS15" s="416"/>
      <c r="RT15" s="416"/>
      <c r="RU15" s="416"/>
      <c r="RV15" s="416"/>
      <c r="RW15" s="416"/>
      <c r="RX15" s="416"/>
      <c r="RY15" s="416"/>
      <c r="RZ15" s="416"/>
      <c r="SA15" s="416"/>
      <c r="SB15" s="416"/>
      <c r="SC15" s="416"/>
      <c r="SD15" s="416"/>
      <c r="SE15" s="416"/>
      <c r="SF15" s="416"/>
      <c r="SG15" s="416"/>
      <c r="SH15" s="416"/>
      <c r="SI15" s="416"/>
      <c r="SJ15" s="416"/>
      <c r="SK15" s="416"/>
      <c r="SL15" s="416"/>
    </row>
    <row r="16" spans="1:506" ht="14.95" customHeight="1" thickBot="1" x14ac:dyDescent="0.35">
      <c r="A16" s="161" t="s">
        <v>162</v>
      </c>
      <c r="B16" s="162" t="s">
        <v>73</v>
      </c>
      <c r="C16" s="147" t="s">
        <v>3</v>
      </c>
      <c r="D16" s="148" t="s">
        <v>12</v>
      </c>
      <c r="E16" s="148" t="s">
        <v>8</v>
      </c>
      <c r="F16" s="148">
        <v>36</v>
      </c>
      <c r="G16" s="148">
        <v>17</v>
      </c>
      <c r="H16" s="453">
        <v>1</v>
      </c>
      <c r="I16" s="453">
        <v>0</v>
      </c>
      <c r="J16" s="453">
        <v>5</v>
      </c>
      <c r="K16" s="453">
        <v>4</v>
      </c>
      <c r="L16" s="453">
        <v>0</v>
      </c>
      <c r="M16" s="453">
        <v>1</v>
      </c>
      <c r="N16" s="453">
        <v>1</v>
      </c>
      <c r="O16" s="453">
        <v>0</v>
      </c>
      <c r="P16" s="453">
        <v>0</v>
      </c>
      <c r="Q16" s="453">
        <v>0</v>
      </c>
      <c r="R16" s="453">
        <v>3</v>
      </c>
      <c r="S16" s="359" t="s">
        <v>549</v>
      </c>
      <c r="T16" s="173" t="s">
        <v>324</v>
      </c>
      <c r="U16" s="174" t="s">
        <v>50</v>
      </c>
      <c r="V16" s="164" t="s">
        <v>383</v>
      </c>
      <c r="W16" s="166" t="s">
        <v>295</v>
      </c>
      <c r="X16" s="164">
        <v>1</v>
      </c>
      <c r="Y16" s="164">
        <v>1</v>
      </c>
      <c r="Z16" s="164">
        <v>0</v>
      </c>
      <c r="AA16" s="164">
        <v>0</v>
      </c>
      <c r="AB16" s="164">
        <v>0</v>
      </c>
      <c r="AC16" s="164">
        <v>0</v>
      </c>
      <c r="AD16" s="164">
        <v>0</v>
      </c>
      <c r="AE16" s="164">
        <v>0</v>
      </c>
      <c r="AF16" s="164">
        <v>1</v>
      </c>
      <c r="AG16" s="164">
        <v>1</v>
      </c>
      <c r="AH16" s="164">
        <v>0</v>
      </c>
      <c r="AI16" s="172">
        <v>0</v>
      </c>
      <c r="AJ16" s="164">
        <v>0</v>
      </c>
      <c r="AK16" s="164">
        <v>0</v>
      </c>
      <c r="AL16" s="164">
        <v>0</v>
      </c>
      <c r="AM16" s="172">
        <v>0</v>
      </c>
    </row>
    <row r="17" spans="1:39" ht="14.95" customHeight="1" thickBot="1" x14ac:dyDescent="0.35">
      <c r="A17" s="161" t="s">
        <v>510</v>
      </c>
      <c r="B17" s="162" t="s">
        <v>73</v>
      </c>
      <c r="C17" s="147" t="s">
        <v>70</v>
      </c>
      <c r="D17" s="148" t="s">
        <v>12</v>
      </c>
      <c r="E17" s="148" t="s">
        <v>8</v>
      </c>
      <c r="F17" s="148">
        <v>81</v>
      </c>
      <c r="G17" s="148">
        <v>0</v>
      </c>
      <c r="H17" s="453">
        <v>1</v>
      </c>
      <c r="I17" s="453">
        <v>0</v>
      </c>
      <c r="J17" s="453">
        <v>13</v>
      </c>
      <c r="K17" s="453">
        <v>8</v>
      </c>
      <c r="L17" s="453">
        <v>0</v>
      </c>
      <c r="M17" s="453">
        <v>0</v>
      </c>
      <c r="N17" s="453">
        <v>0</v>
      </c>
      <c r="O17" s="453">
        <v>0</v>
      </c>
      <c r="P17" s="453">
        <v>0</v>
      </c>
      <c r="Q17" s="453">
        <v>0</v>
      </c>
      <c r="R17" s="453">
        <v>0</v>
      </c>
      <c r="S17" s="176" t="s">
        <v>585</v>
      </c>
      <c r="T17" s="172" t="s">
        <v>378</v>
      </c>
      <c r="U17" s="164" t="s">
        <v>50</v>
      </c>
      <c r="V17" s="164" t="s">
        <v>448</v>
      </c>
      <c r="W17" s="166" t="s">
        <v>290</v>
      </c>
      <c r="X17" s="164">
        <v>1</v>
      </c>
      <c r="Y17" s="164">
        <v>1</v>
      </c>
      <c r="Z17" s="164">
        <v>0</v>
      </c>
      <c r="AA17" s="164">
        <v>0</v>
      </c>
      <c r="AB17" s="164">
        <v>0</v>
      </c>
      <c r="AC17" s="164">
        <v>0</v>
      </c>
      <c r="AD17" s="164">
        <v>0</v>
      </c>
      <c r="AE17" s="164">
        <v>0</v>
      </c>
      <c r="AF17" s="164">
        <v>1</v>
      </c>
      <c r="AG17" s="164">
        <v>1</v>
      </c>
      <c r="AH17" s="164">
        <v>0</v>
      </c>
      <c r="AI17" s="172">
        <v>0</v>
      </c>
      <c r="AJ17" s="164">
        <v>0</v>
      </c>
      <c r="AK17" s="164">
        <v>0</v>
      </c>
      <c r="AL17" s="164">
        <v>0</v>
      </c>
      <c r="AM17" s="172">
        <v>0</v>
      </c>
    </row>
    <row r="18" spans="1:39" ht="14.95" customHeight="1" thickBot="1" x14ac:dyDescent="0.3">
      <c r="A18" s="154" t="s">
        <v>512</v>
      </c>
      <c r="B18" s="155" t="s">
        <v>73</v>
      </c>
      <c r="C18" s="152" t="s">
        <v>49</v>
      </c>
      <c r="D18" s="153" t="s">
        <v>153</v>
      </c>
      <c r="E18" s="153" t="s">
        <v>8</v>
      </c>
      <c r="F18" s="153">
        <v>36</v>
      </c>
      <c r="G18" s="153">
        <v>33</v>
      </c>
      <c r="H18" s="454">
        <v>1</v>
      </c>
      <c r="I18" s="454">
        <v>0</v>
      </c>
      <c r="J18" s="454">
        <v>5</v>
      </c>
      <c r="K18" s="454">
        <v>4</v>
      </c>
      <c r="L18" s="454">
        <v>0</v>
      </c>
      <c r="M18" s="454">
        <v>1</v>
      </c>
      <c r="N18" s="454">
        <v>0</v>
      </c>
      <c r="O18" s="454">
        <v>0</v>
      </c>
      <c r="P18" s="454">
        <v>1</v>
      </c>
      <c r="Q18" s="454">
        <v>1</v>
      </c>
      <c r="R18" s="454">
        <v>5</v>
      </c>
      <c r="S18" s="170" t="s">
        <v>604</v>
      </c>
      <c r="T18" s="157" t="s">
        <v>294</v>
      </c>
      <c r="U18" s="158" t="s">
        <v>50</v>
      </c>
      <c r="V18" s="158" t="s">
        <v>292</v>
      </c>
      <c r="W18" s="160" t="s">
        <v>286</v>
      </c>
      <c r="X18" s="158">
        <v>1</v>
      </c>
      <c r="Y18" s="158">
        <v>1</v>
      </c>
      <c r="Z18" s="158">
        <v>0</v>
      </c>
      <c r="AA18" s="158">
        <v>0</v>
      </c>
      <c r="AB18" s="158">
        <v>1</v>
      </c>
      <c r="AC18" s="158">
        <v>1</v>
      </c>
      <c r="AD18" s="158">
        <v>0</v>
      </c>
      <c r="AE18" s="158">
        <v>0</v>
      </c>
      <c r="AF18" s="158">
        <v>0</v>
      </c>
      <c r="AG18" s="158">
        <v>0</v>
      </c>
      <c r="AH18" s="158">
        <v>0</v>
      </c>
      <c r="AI18" s="157">
        <v>0</v>
      </c>
      <c r="AJ18" s="158">
        <v>0</v>
      </c>
      <c r="AK18" s="158">
        <v>0</v>
      </c>
      <c r="AL18" s="158">
        <v>0</v>
      </c>
      <c r="AM18" s="157">
        <v>0</v>
      </c>
    </row>
    <row r="19" spans="1:39" ht="14.95" customHeight="1" thickBot="1" x14ac:dyDescent="0.35">
      <c r="A19" s="154" t="s">
        <v>513</v>
      </c>
      <c r="B19" s="155" t="s">
        <v>73</v>
      </c>
      <c r="C19" s="152" t="s">
        <v>4</v>
      </c>
      <c r="D19" s="153" t="s">
        <v>153</v>
      </c>
      <c r="E19" s="153" t="s">
        <v>8</v>
      </c>
      <c r="F19" s="153">
        <v>45</v>
      </c>
      <c r="G19" s="153">
        <v>7</v>
      </c>
      <c r="H19" s="454">
        <v>1</v>
      </c>
      <c r="I19" s="454">
        <v>0</v>
      </c>
      <c r="J19" s="454">
        <v>7</v>
      </c>
      <c r="K19" s="454">
        <v>5</v>
      </c>
      <c r="L19" s="454">
        <v>0</v>
      </c>
      <c r="M19" s="454">
        <v>0</v>
      </c>
      <c r="N19" s="454">
        <v>0</v>
      </c>
      <c r="O19" s="454">
        <v>0</v>
      </c>
      <c r="P19" s="454">
        <v>0</v>
      </c>
      <c r="Q19" s="454">
        <v>0</v>
      </c>
      <c r="R19" s="454">
        <v>1</v>
      </c>
      <c r="S19" s="156" t="s">
        <v>616</v>
      </c>
      <c r="T19" s="157" t="s">
        <v>285</v>
      </c>
      <c r="U19" s="158" t="s">
        <v>50</v>
      </c>
      <c r="V19" s="158" t="s">
        <v>283</v>
      </c>
      <c r="W19" s="160" t="s">
        <v>286</v>
      </c>
      <c r="X19" s="158">
        <v>1</v>
      </c>
      <c r="Y19" s="158">
        <v>1</v>
      </c>
      <c r="Z19" s="158">
        <v>0</v>
      </c>
      <c r="AA19" s="158">
        <v>0</v>
      </c>
      <c r="AB19" s="158">
        <v>1</v>
      </c>
      <c r="AC19" s="158">
        <v>1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7">
        <v>0</v>
      </c>
      <c r="AJ19" s="158">
        <v>0</v>
      </c>
      <c r="AK19" s="158">
        <v>0</v>
      </c>
      <c r="AL19" s="158">
        <v>0</v>
      </c>
      <c r="AM19" s="157">
        <v>0</v>
      </c>
    </row>
    <row r="20" spans="1:39" ht="14.95" customHeight="1" thickBot="1" x14ac:dyDescent="0.35">
      <c r="A20" s="178" t="s">
        <v>516</v>
      </c>
      <c r="B20" s="162" t="s">
        <v>73</v>
      </c>
      <c r="C20" s="147" t="s">
        <v>0</v>
      </c>
      <c r="D20" s="148" t="s">
        <v>12</v>
      </c>
      <c r="E20" s="148" t="s">
        <v>8</v>
      </c>
      <c r="F20" s="148">
        <v>43</v>
      </c>
      <c r="G20" s="148">
        <v>26</v>
      </c>
      <c r="H20" s="453">
        <v>1</v>
      </c>
      <c r="I20" s="453">
        <v>0</v>
      </c>
      <c r="J20" s="453">
        <v>6</v>
      </c>
      <c r="K20" s="453">
        <v>5</v>
      </c>
      <c r="L20" s="453">
        <v>0</v>
      </c>
      <c r="M20" s="453">
        <v>1</v>
      </c>
      <c r="N20" s="453">
        <v>1</v>
      </c>
      <c r="O20" s="453">
        <v>0</v>
      </c>
      <c r="P20" s="453">
        <v>1</v>
      </c>
      <c r="Q20" s="453">
        <v>0</v>
      </c>
      <c r="R20" s="453">
        <v>4</v>
      </c>
      <c r="S20" s="176" t="s">
        <v>631</v>
      </c>
      <c r="T20" s="172" t="s">
        <v>522</v>
      </c>
      <c r="U20" s="164" t="s">
        <v>296</v>
      </c>
      <c r="V20" s="164" t="s">
        <v>624</v>
      </c>
      <c r="W20" s="166" t="s">
        <v>338</v>
      </c>
      <c r="X20" s="164">
        <v>1</v>
      </c>
      <c r="Y20" s="164">
        <v>1</v>
      </c>
      <c r="Z20" s="164">
        <v>0</v>
      </c>
      <c r="AA20" s="164">
        <v>0</v>
      </c>
      <c r="AB20" s="164">
        <v>0</v>
      </c>
      <c r="AC20" s="164">
        <v>0</v>
      </c>
      <c r="AD20" s="164">
        <v>0</v>
      </c>
      <c r="AE20" s="164">
        <v>0</v>
      </c>
      <c r="AF20" s="164">
        <v>1</v>
      </c>
      <c r="AG20" s="164">
        <v>1</v>
      </c>
      <c r="AH20" s="164">
        <v>0</v>
      </c>
      <c r="AI20" s="172">
        <v>0</v>
      </c>
      <c r="AJ20" s="164">
        <v>0</v>
      </c>
      <c r="AK20" s="164">
        <v>0</v>
      </c>
      <c r="AL20" s="164">
        <v>0</v>
      </c>
      <c r="AM20" s="172">
        <v>0</v>
      </c>
    </row>
    <row r="21" spans="1:39" ht="14.95" customHeight="1" thickBot="1" x14ac:dyDescent="0.35">
      <c r="A21" s="177" t="s">
        <v>519</v>
      </c>
      <c r="B21" s="155" t="s">
        <v>73</v>
      </c>
      <c r="C21" s="152" t="s">
        <v>63</v>
      </c>
      <c r="D21" s="153" t="s">
        <v>153</v>
      </c>
      <c r="E21" s="153" t="s">
        <v>10</v>
      </c>
      <c r="F21" s="153">
        <v>17</v>
      </c>
      <c r="G21" s="153">
        <v>22</v>
      </c>
      <c r="H21" s="454">
        <v>0</v>
      </c>
      <c r="I21" s="454">
        <v>1</v>
      </c>
      <c r="J21" s="454">
        <v>2</v>
      </c>
      <c r="K21" s="454">
        <v>2</v>
      </c>
      <c r="L21" s="454">
        <v>0</v>
      </c>
      <c r="M21" s="454">
        <v>1</v>
      </c>
      <c r="N21" s="454">
        <v>2</v>
      </c>
      <c r="O21" s="454">
        <v>0</v>
      </c>
      <c r="P21" s="454">
        <v>1</v>
      </c>
      <c r="Q21" s="454">
        <v>0</v>
      </c>
      <c r="R21" s="454">
        <v>4</v>
      </c>
      <c r="S21" s="348" t="s">
        <v>474</v>
      </c>
      <c r="T21" s="157" t="s">
        <v>643</v>
      </c>
      <c r="U21" s="158" t="s">
        <v>289</v>
      </c>
      <c r="V21" s="158" t="s">
        <v>378</v>
      </c>
      <c r="W21" s="160" t="s">
        <v>338</v>
      </c>
      <c r="X21" s="158">
        <v>1</v>
      </c>
      <c r="Y21" s="158">
        <v>0</v>
      </c>
      <c r="Z21" s="158">
        <v>0</v>
      </c>
      <c r="AA21" s="158">
        <v>1</v>
      </c>
      <c r="AB21" s="158">
        <v>1</v>
      </c>
      <c r="AC21" s="158">
        <v>0</v>
      </c>
      <c r="AD21" s="158">
        <v>0</v>
      </c>
      <c r="AE21" s="158">
        <v>1</v>
      </c>
      <c r="AF21" s="158">
        <v>0</v>
      </c>
      <c r="AG21" s="158">
        <v>0</v>
      </c>
      <c r="AH21" s="158">
        <v>0</v>
      </c>
      <c r="AI21" s="157">
        <v>0</v>
      </c>
      <c r="AJ21" s="158">
        <v>0</v>
      </c>
      <c r="AK21" s="158">
        <v>0</v>
      </c>
      <c r="AL21" s="158">
        <v>0</v>
      </c>
      <c r="AM21" s="157">
        <v>0</v>
      </c>
    </row>
    <row r="22" spans="1:39" ht="14.95" customHeight="1" thickBot="1" x14ac:dyDescent="0.35">
      <c r="A22" s="177" t="s">
        <v>246</v>
      </c>
      <c r="B22" s="155" t="s">
        <v>73</v>
      </c>
      <c r="C22" s="152" t="s">
        <v>3</v>
      </c>
      <c r="D22" s="153" t="s">
        <v>154</v>
      </c>
      <c r="E22" s="153"/>
      <c r="F22" s="153"/>
      <c r="G22" s="153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156"/>
      <c r="T22" s="157"/>
      <c r="U22" s="158"/>
      <c r="V22" s="158"/>
      <c r="W22" s="160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7"/>
      <c r="AJ22" s="158"/>
      <c r="AK22" s="158"/>
      <c r="AL22" s="158"/>
      <c r="AM22" s="157"/>
    </row>
    <row r="23" spans="1:39" ht="14.95" customHeight="1" thickBot="1" x14ac:dyDescent="0.35">
      <c r="A23" s="178" t="s">
        <v>127</v>
      </c>
      <c r="B23" s="162" t="s">
        <v>73</v>
      </c>
      <c r="C23" s="147" t="s">
        <v>540</v>
      </c>
      <c r="D23" s="148" t="s">
        <v>12</v>
      </c>
      <c r="E23" s="148"/>
      <c r="F23" s="148"/>
      <c r="G23" s="148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3"/>
      <c r="S23" s="176"/>
      <c r="T23" s="172"/>
      <c r="U23" s="164"/>
      <c r="V23" s="164"/>
      <c r="W23" s="166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72"/>
      <c r="AJ23" s="164"/>
      <c r="AK23" s="164"/>
      <c r="AL23" s="164"/>
      <c r="AM23" s="172"/>
    </row>
    <row r="24" spans="1:39" ht="14.95" customHeight="1" thickBot="1" x14ac:dyDescent="0.35">
      <c r="A24" s="177" t="s">
        <v>248</v>
      </c>
      <c r="B24" s="155" t="s">
        <v>73</v>
      </c>
      <c r="C24" s="152" t="s">
        <v>100</v>
      </c>
      <c r="D24" s="153" t="s">
        <v>153</v>
      </c>
      <c r="E24" s="153"/>
      <c r="F24" s="153"/>
      <c r="G24" s="153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156"/>
      <c r="T24" s="157"/>
      <c r="U24" s="158"/>
      <c r="V24" s="158"/>
      <c r="W24" s="160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7"/>
      <c r="AJ24" s="158"/>
      <c r="AK24" s="158"/>
      <c r="AL24" s="158"/>
      <c r="AM24" s="157"/>
    </row>
    <row r="25" spans="1:39" ht="14.95" customHeight="1" thickBot="1" x14ac:dyDescent="0.35">
      <c r="A25" s="502" t="s">
        <v>249</v>
      </c>
      <c r="B25" s="503" t="s">
        <v>128</v>
      </c>
      <c r="C25" s="504"/>
      <c r="D25" s="505"/>
      <c r="E25" s="505"/>
      <c r="F25" s="505"/>
      <c r="G25" s="505"/>
      <c r="H25" s="506"/>
      <c r="I25" s="506"/>
      <c r="J25" s="506"/>
      <c r="K25" s="506"/>
      <c r="L25" s="506"/>
      <c r="M25" s="506"/>
      <c r="N25" s="506"/>
      <c r="O25" s="506"/>
      <c r="P25" s="506"/>
      <c r="Q25" s="506"/>
      <c r="R25" s="506"/>
      <c r="S25" s="507"/>
      <c r="T25" s="508"/>
      <c r="U25" s="509"/>
      <c r="V25" s="509"/>
      <c r="W25" s="510"/>
      <c r="X25" s="509"/>
      <c r="Y25" s="509"/>
      <c r="Z25" s="509"/>
      <c r="AA25" s="509"/>
      <c r="AB25" s="509"/>
      <c r="AC25" s="509"/>
      <c r="AD25" s="509"/>
      <c r="AE25" s="509"/>
      <c r="AF25" s="509"/>
      <c r="AG25" s="509"/>
      <c r="AH25" s="509"/>
      <c r="AI25" s="508"/>
      <c r="AJ25" s="509"/>
      <c r="AK25" s="509"/>
      <c r="AL25" s="509"/>
      <c r="AM25" s="508"/>
    </row>
    <row r="26" spans="1:39" ht="14.95" customHeight="1" thickBot="1" x14ac:dyDescent="0.3">
      <c r="A26" s="502" t="s">
        <v>250</v>
      </c>
      <c r="B26" s="503" t="s">
        <v>247</v>
      </c>
      <c r="C26" s="504"/>
      <c r="D26" s="505"/>
      <c r="E26" s="505"/>
      <c r="F26" s="505"/>
      <c r="G26" s="505"/>
      <c r="H26" s="506"/>
      <c r="I26" s="506"/>
      <c r="J26" s="506"/>
      <c r="K26" s="506"/>
      <c r="L26" s="506"/>
      <c r="M26" s="506"/>
      <c r="N26" s="506"/>
      <c r="O26" s="506"/>
      <c r="P26" s="506"/>
      <c r="Q26" s="506"/>
      <c r="R26" s="506"/>
      <c r="S26" s="511"/>
      <c r="T26" s="508"/>
      <c r="U26" s="509"/>
      <c r="V26" s="509"/>
      <c r="W26" s="510"/>
      <c r="X26" s="509"/>
      <c r="Y26" s="509"/>
      <c r="Z26" s="509"/>
      <c r="AA26" s="509"/>
      <c r="AB26" s="509"/>
      <c r="AC26" s="509"/>
      <c r="AD26" s="509"/>
      <c r="AE26" s="509"/>
      <c r="AF26" s="509"/>
      <c r="AG26" s="509"/>
      <c r="AH26" s="509"/>
      <c r="AI26" s="508"/>
      <c r="AJ26" s="509"/>
      <c r="AK26" s="509"/>
      <c r="AL26" s="509"/>
      <c r="AM26" s="508"/>
    </row>
    <row r="27" spans="1:39" ht="14.95" customHeight="1" thickBot="1" x14ac:dyDescent="0.3">
      <c r="A27" s="120"/>
      <c r="B27" s="121"/>
      <c r="C27" s="741" t="s">
        <v>74</v>
      </c>
      <c r="D27" s="742"/>
      <c r="E27" s="743"/>
      <c r="F27" s="122">
        <f t="shared" ref="F27:R27" si="0">SUM(F9:F24)</f>
        <v>545</v>
      </c>
      <c r="G27" s="122">
        <f t="shared" si="0"/>
        <v>206</v>
      </c>
      <c r="H27" s="122">
        <f t="shared" si="0"/>
        <v>11</v>
      </c>
      <c r="I27" s="122">
        <f t="shared" si="0"/>
        <v>1</v>
      </c>
      <c r="J27" s="122">
        <f t="shared" si="0"/>
        <v>83</v>
      </c>
      <c r="K27" s="122">
        <f t="shared" si="0"/>
        <v>59</v>
      </c>
      <c r="L27" s="122">
        <f t="shared" si="0"/>
        <v>0</v>
      </c>
      <c r="M27" s="122">
        <f t="shared" si="0"/>
        <v>4</v>
      </c>
      <c r="N27" s="122">
        <f t="shared" si="0"/>
        <v>6</v>
      </c>
      <c r="O27" s="122">
        <f t="shared" si="0"/>
        <v>0</v>
      </c>
      <c r="P27" s="122">
        <f t="shared" si="0"/>
        <v>4</v>
      </c>
      <c r="Q27" s="122">
        <f t="shared" si="0"/>
        <v>1</v>
      </c>
      <c r="R27" s="122">
        <f t="shared" si="0"/>
        <v>34</v>
      </c>
      <c r="S27" s="123"/>
      <c r="T27" s="123"/>
      <c r="U27" s="124"/>
      <c r="V27" s="124"/>
      <c r="W27" s="125" t="s">
        <v>74</v>
      </c>
      <c r="X27" s="122">
        <f t="shared" ref="X27:AM27" si="1">SUM(X9:X24)</f>
        <v>13</v>
      </c>
      <c r="Y27" s="122">
        <f t="shared" si="1"/>
        <v>11</v>
      </c>
      <c r="Z27" s="122">
        <f t="shared" si="1"/>
        <v>0</v>
      </c>
      <c r="AA27" s="122">
        <f t="shared" si="1"/>
        <v>2</v>
      </c>
      <c r="AB27" s="126">
        <f t="shared" si="1"/>
        <v>7</v>
      </c>
      <c r="AC27" s="126">
        <f t="shared" si="1"/>
        <v>6</v>
      </c>
      <c r="AD27" s="126">
        <f t="shared" si="1"/>
        <v>0</v>
      </c>
      <c r="AE27" s="126">
        <f t="shared" si="1"/>
        <v>1</v>
      </c>
      <c r="AF27" s="127">
        <f t="shared" si="1"/>
        <v>6</v>
      </c>
      <c r="AG27" s="127">
        <f t="shared" si="1"/>
        <v>5</v>
      </c>
      <c r="AH27" s="127">
        <f t="shared" si="1"/>
        <v>0</v>
      </c>
      <c r="AI27" s="127">
        <f t="shared" si="1"/>
        <v>1</v>
      </c>
      <c r="AJ27" s="122">
        <f t="shared" si="1"/>
        <v>0</v>
      </c>
      <c r="AK27" s="122">
        <f t="shared" si="1"/>
        <v>0</v>
      </c>
      <c r="AL27" s="122">
        <f t="shared" si="1"/>
        <v>0</v>
      </c>
      <c r="AM27" s="122">
        <f t="shared" si="1"/>
        <v>0</v>
      </c>
    </row>
    <row r="28" spans="1:39" ht="14.95" customHeight="1" thickBot="1" x14ac:dyDescent="0.3">
      <c r="A28" s="128"/>
      <c r="B28" s="128"/>
      <c r="C28" s="741" t="s">
        <v>75</v>
      </c>
      <c r="D28" s="742"/>
      <c r="E28" s="743"/>
      <c r="F28" s="122">
        <f>F25+F26</f>
        <v>0</v>
      </c>
      <c r="G28" s="122">
        <f>G25+G26</f>
        <v>0</v>
      </c>
      <c r="H28" s="129" t="s">
        <v>42</v>
      </c>
      <c r="I28" s="129" t="s">
        <v>42</v>
      </c>
      <c r="J28" s="122">
        <f t="shared" ref="J28:O28" si="2">J25+J26</f>
        <v>0</v>
      </c>
      <c r="K28" s="122">
        <f t="shared" si="2"/>
        <v>0</v>
      </c>
      <c r="L28" s="122">
        <f t="shared" si="2"/>
        <v>0</v>
      </c>
      <c r="M28" s="122">
        <f t="shared" si="2"/>
        <v>0</v>
      </c>
      <c r="N28" s="122">
        <f t="shared" si="2"/>
        <v>0</v>
      </c>
      <c r="O28" s="122">
        <f t="shared" si="2"/>
        <v>0</v>
      </c>
      <c r="P28" s="129" t="s">
        <v>42</v>
      </c>
      <c r="Q28" s="129" t="s">
        <v>42</v>
      </c>
      <c r="R28" s="122">
        <f>R25+R26</f>
        <v>0</v>
      </c>
      <c r="S28" s="123"/>
      <c r="T28" s="123"/>
      <c r="U28" s="123"/>
      <c r="V28" s="124"/>
      <c r="W28" s="125" t="s">
        <v>75</v>
      </c>
      <c r="X28" s="122">
        <f t="shared" ref="X28:AM28" si="3">X25+X26</f>
        <v>0</v>
      </c>
      <c r="Y28" s="122">
        <f t="shared" si="3"/>
        <v>0</v>
      </c>
      <c r="Z28" s="122">
        <f t="shared" si="3"/>
        <v>0</v>
      </c>
      <c r="AA28" s="122">
        <f t="shared" si="3"/>
        <v>0</v>
      </c>
      <c r="AB28" s="126">
        <f t="shared" si="3"/>
        <v>0</v>
      </c>
      <c r="AC28" s="126">
        <f t="shared" si="3"/>
        <v>0</v>
      </c>
      <c r="AD28" s="126">
        <f t="shared" si="3"/>
        <v>0</v>
      </c>
      <c r="AE28" s="126">
        <f t="shared" si="3"/>
        <v>0</v>
      </c>
      <c r="AF28" s="130">
        <f t="shared" si="3"/>
        <v>0</v>
      </c>
      <c r="AG28" s="130">
        <f t="shared" si="3"/>
        <v>0</v>
      </c>
      <c r="AH28" s="130">
        <f t="shared" si="3"/>
        <v>0</v>
      </c>
      <c r="AI28" s="130">
        <f t="shared" si="3"/>
        <v>0</v>
      </c>
      <c r="AJ28" s="122">
        <f t="shared" si="3"/>
        <v>0</v>
      </c>
      <c r="AK28" s="122">
        <f t="shared" si="3"/>
        <v>0</v>
      </c>
      <c r="AL28" s="122">
        <f t="shared" si="3"/>
        <v>0</v>
      </c>
      <c r="AM28" s="122">
        <f t="shared" si="3"/>
        <v>0</v>
      </c>
    </row>
    <row r="29" spans="1:39" ht="14.95" customHeight="1" thickBot="1" x14ac:dyDescent="0.3">
      <c r="A29" s="128"/>
      <c r="B29" s="128"/>
      <c r="C29" s="741" t="s">
        <v>76</v>
      </c>
      <c r="D29" s="742"/>
      <c r="E29" s="743"/>
      <c r="F29" s="122">
        <f>SUM(F27+F28)</f>
        <v>545</v>
      </c>
      <c r="G29" s="122">
        <f t="shared" ref="G29:R29" si="4">SUM(G27+G28)</f>
        <v>206</v>
      </c>
      <c r="H29" s="122">
        <f>H27</f>
        <v>11</v>
      </c>
      <c r="I29" s="122">
        <f>I27</f>
        <v>1</v>
      </c>
      <c r="J29" s="122">
        <f t="shared" si="4"/>
        <v>83</v>
      </c>
      <c r="K29" s="122">
        <f t="shared" si="4"/>
        <v>59</v>
      </c>
      <c r="L29" s="122">
        <f t="shared" si="4"/>
        <v>0</v>
      </c>
      <c r="M29" s="122">
        <f t="shared" si="4"/>
        <v>4</v>
      </c>
      <c r="N29" s="122">
        <f t="shared" si="4"/>
        <v>6</v>
      </c>
      <c r="O29" s="122">
        <f t="shared" si="4"/>
        <v>0</v>
      </c>
      <c r="P29" s="122">
        <f t="shared" ref="P29:Q29" si="5">P27</f>
        <v>4</v>
      </c>
      <c r="Q29" s="122">
        <f t="shared" si="5"/>
        <v>1</v>
      </c>
      <c r="R29" s="122">
        <f t="shared" si="4"/>
        <v>34</v>
      </c>
      <c r="S29" s="123"/>
      <c r="T29" s="123"/>
      <c r="U29" s="123"/>
      <c r="V29" s="124"/>
      <c r="W29" s="125" t="s">
        <v>76</v>
      </c>
      <c r="X29" s="122">
        <f t="shared" ref="X29:AM29" si="6">SUM(X27+X28)</f>
        <v>13</v>
      </c>
      <c r="Y29" s="122">
        <f t="shared" si="6"/>
        <v>11</v>
      </c>
      <c r="Z29" s="122">
        <f t="shared" si="6"/>
        <v>0</v>
      </c>
      <c r="AA29" s="122">
        <f t="shared" si="6"/>
        <v>2</v>
      </c>
      <c r="AB29" s="126">
        <f t="shared" si="6"/>
        <v>7</v>
      </c>
      <c r="AC29" s="126">
        <f t="shared" si="6"/>
        <v>6</v>
      </c>
      <c r="AD29" s="126">
        <f t="shared" si="6"/>
        <v>0</v>
      </c>
      <c r="AE29" s="126">
        <f t="shared" si="6"/>
        <v>1</v>
      </c>
      <c r="AF29" s="127">
        <f t="shared" si="6"/>
        <v>6</v>
      </c>
      <c r="AG29" s="127">
        <f t="shared" si="6"/>
        <v>5</v>
      </c>
      <c r="AH29" s="127">
        <f t="shared" si="6"/>
        <v>0</v>
      </c>
      <c r="AI29" s="127">
        <f t="shared" si="6"/>
        <v>1</v>
      </c>
      <c r="AJ29" s="122">
        <f t="shared" si="6"/>
        <v>0</v>
      </c>
      <c r="AK29" s="122">
        <f t="shared" si="6"/>
        <v>0</v>
      </c>
      <c r="AL29" s="122">
        <f t="shared" si="6"/>
        <v>0</v>
      </c>
      <c r="AM29" s="122">
        <f t="shared" si="6"/>
        <v>0</v>
      </c>
    </row>
    <row r="30" spans="1:39" ht="14.95" thickBot="1" x14ac:dyDescent="0.3">
      <c r="A30" s="34"/>
      <c r="C30" s="726" t="s">
        <v>441</v>
      </c>
      <c r="D30" s="727"/>
      <c r="E30" s="728"/>
      <c r="F30" s="644">
        <f>SUM(F3:F6)</f>
        <v>199</v>
      </c>
      <c r="G30" s="644">
        <f t="shared" ref="G30:R30" si="7">SUM(G3:G6)</f>
        <v>63</v>
      </c>
      <c r="H30" s="644">
        <f t="shared" si="7"/>
        <v>4</v>
      </c>
      <c r="I30" s="644">
        <f t="shared" si="7"/>
        <v>0</v>
      </c>
      <c r="J30" s="644">
        <f t="shared" si="7"/>
        <v>31</v>
      </c>
      <c r="K30" s="644">
        <f t="shared" si="7"/>
        <v>22</v>
      </c>
      <c r="L30" s="644">
        <f t="shared" si="7"/>
        <v>0</v>
      </c>
      <c r="M30" s="644">
        <f t="shared" si="7"/>
        <v>0</v>
      </c>
      <c r="N30" s="644">
        <f t="shared" si="7"/>
        <v>1</v>
      </c>
      <c r="O30" s="644">
        <f t="shared" si="7"/>
        <v>0</v>
      </c>
      <c r="P30" s="644">
        <f t="shared" si="7"/>
        <v>1</v>
      </c>
      <c r="Q30" s="644">
        <f t="shared" si="7"/>
        <v>0</v>
      </c>
      <c r="R30" s="644">
        <f t="shared" si="7"/>
        <v>9</v>
      </c>
      <c r="S30" s="645"/>
      <c r="T30" s="645"/>
      <c r="U30" s="645"/>
      <c r="V30" s="646"/>
      <c r="W30" s="647" t="s">
        <v>441</v>
      </c>
      <c r="X30" s="644">
        <f t="shared" ref="X30:AM30" si="8">SUM(X3:X6)</f>
        <v>4</v>
      </c>
      <c r="Y30" s="644">
        <f t="shared" si="8"/>
        <v>4</v>
      </c>
      <c r="Z30" s="644">
        <f t="shared" si="8"/>
        <v>0</v>
      </c>
      <c r="AA30" s="644">
        <f t="shared" si="8"/>
        <v>0</v>
      </c>
      <c r="AB30" s="648">
        <f t="shared" si="8"/>
        <v>2</v>
      </c>
      <c r="AC30" s="648">
        <f t="shared" si="8"/>
        <v>2</v>
      </c>
      <c r="AD30" s="648">
        <f t="shared" si="8"/>
        <v>0</v>
      </c>
      <c r="AE30" s="648">
        <f t="shared" si="8"/>
        <v>0</v>
      </c>
      <c r="AF30" s="649">
        <f t="shared" si="8"/>
        <v>2</v>
      </c>
      <c r="AG30" s="649">
        <f t="shared" si="8"/>
        <v>2</v>
      </c>
      <c r="AH30" s="649">
        <f t="shared" si="8"/>
        <v>0</v>
      </c>
      <c r="AI30" s="649">
        <f t="shared" si="8"/>
        <v>0</v>
      </c>
      <c r="AJ30" s="644">
        <f t="shared" si="8"/>
        <v>0</v>
      </c>
      <c r="AK30" s="644">
        <f t="shared" si="8"/>
        <v>0</v>
      </c>
      <c r="AL30" s="644">
        <f t="shared" si="8"/>
        <v>0</v>
      </c>
      <c r="AM30" s="644">
        <f t="shared" si="8"/>
        <v>0</v>
      </c>
    </row>
    <row r="31" spans="1:39" ht="14.95" thickBot="1" x14ac:dyDescent="0.3">
      <c r="A31" s="501"/>
      <c r="C31" s="726" t="s">
        <v>442</v>
      </c>
      <c r="D31" s="727"/>
      <c r="E31" s="728"/>
      <c r="F31" s="644">
        <f>SUM(F7:F8)</f>
        <v>82</v>
      </c>
      <c r="G31" s="644">
        <f t="shared" ref="G31:R31" si="9">SUM(G7:G8)</f>
        <v>38</v>
      </c>
      <c r="H31" s="644">
        <f t="shared" si="9"/>
        <v>0</v>
      </c>
      <c r="I31" s="644">
        <f t="shared" si="9"/>
        <v>0</v>
      </c>
      <c r="J31" s="644">
        <f t="shared" si="9"/>
        <v>13</v>
      </c>
      <c r="K31" s="644">
        <f t="shared" si="9"/>
        <v>7</v>
      </c>
      <c r="L31" s="644">
        <f t="shared" si="9"/>
        <v>0</v>
      </c>
      <c r="M31" s="644">
        <f t="shared" si="9"/>
        <v>1</v>
      </c>
      <c r="N31" s="644">
        <f t="shared" si="9"/>
        <v>0</v>
      </c>
      <c r="O31" s="644">
        <f t="shared" si="9"/>
        <v>0</v>
      </c>
      <c r="P31" s="644">
        <f t="shared" si="9"/>
        <v>0</v>
      </c>
      <c r="Q31" s="644">
        <f t="shared" si="9"/>
        <v>0</v>
      </c>
      <c r="R31" s="644">
        <f t="shared" si="9"/>
        <v>6</v>
      </c>
      <c r="S31" s="645"/>
      <c r="T31" s="645"/>
      <c r="U31" s="645"/>
      <c r="V31" s="646"/>
      <c r="W31" s="647" t="s">
        <v>442</v>
      </c>
      <c r="X31" s="644">
        <f t="shared" ref="X31:AM31" si="10">SUM(X7:X8)</f>
        <v>2</v>
      </c>
      <c r="Y31" s="644">
        <f t="shared" si="10"/>
        <v>2</v>
      </c>
      <c r="Z31" s="644">
        <f t="shared" si="10"/>
        <v>0</v>
      </c>
      <c r="AA31" s="644">
        <f t="shared" si="10"/>
        <v>0</v>
      </c>
      <c r="AB31" s="648">
        <f t="shared" si="10"/>
        <v>2</v>
      </c>
      <c r="AC31" s="648">
        <f t="shared" si="10"/>
        <v>2</v>
      </c>
      <c r="AD31" s="648">
        <f t="shared" si="10"/>
        <v>0</v>
      </c>
      <c r="AE31" s="648">
        <f t="shared" si="10"/>
        <v>0</v>
      </c>
      <c r="AF31" s="649">
        <f t="shared" si="10"/>
        <v>0</v>
      </c>
      <c r="AG31" s="649">
        <f t="shared" si="10"/>
        <v>0</v>
      </c>
      <c r="AH31" s="649">
        <f t="shared" si="10"/>
        <v>0</v>
      </c>
      <c r="AI31" s="649">
        <f t="shared" si="10"/>
        <v>0</v>
      </c>
      <c r="AJ31" s="644">
        <f t="shared" si="10"/>
        <v>0</v>
      </c>
      <c r="AK31" s="644">
        <f t="shared" si="10"/>
        <v>0</v>
      </c>
      <c r="AL31" s="644">
        <f t="shared" si="10"/>
        <v>0</v>
      </c>
      <c r="AM31" s="644">
        <f t="shared" si="10"/>
        <v>0</v>
      </c>
    </row>
    <row r="32" spans="1:39" ht="17" thickBot="1" x14ac:dyDescent="0.35">
      <c r="A32" s="475"/>
      <c r="C32" s="726" t="s">
        <v>440</v>
      </c>
      <c r="D32" s="727"/>
      <c r="E32" s="728"/>
      <c r="F32" s="644">
        <f>SUM(F30+F31)</f>
        <v>281</v>
      </c>
      <c r="G32" s="644">
        <f t="shared" ref="G32:R32" si="11">SUM(G30+G31)</f>
        <v>101</v>
      </c>
      <c r="H32" s="644">
        <f t="shared" si="11"/>
        <v>4</v>
      </c>
      <c r="I32" s="644">
        <f t="shared" si="11"/>
        <v>0</v>
      </c>
      <c r="J32" s="644">
        <f t="shared" si="11"/>
        <v>44</v>
      </c>
      <c r="K32" s="644">
        <f t="shared" si="11"/>
        <v>29</v>
      </c>
      <c r="L32" s="644">
        <f t="shared" si="11"/>
        <v>0</v>
      </c>
      <c r="M32" s="644">
        <f t="shared" si="11"/>
        <v>1</v>
      </c>
      <c r="N32" s="644">
        <f t="shared" si="11"/>
        <v>1</v>
      </c>
      <c r="O32" s="644">
        <f t="shared" si="11"/>
        <v>0</v>
      </c>
      <c r="P32" s="644">
        <f t="shared" si="11"/>
        <v>1</v>
      </c>
      <c r="Q32" s="644">
        <f t="shared" si="11"/>
        <v>0</v>
      </c>
      <c r="R32" s="644">
        <f t="shared" si="11"/>
        <v>15</v>
      </c>
      <c r="S32" s="645"/>
      <c r="T32" s="645"/>
      <c r="U32" s="645"/>
      <c r="V32" s="646"/>
      <c r="W32" s="647" t="s">
        <v>440</v>
      </c>
      <c r="X32" s="644">
        <f t="shared" ref="X32:AM32" si="12">SUM(X30+X31)</f>
        <v>6</v>
      </c>
      <c r="Y32" s="644">
        <f t="shared" si="12"/>
        <v>6</v>
      </c>
      <c r="Z32" s="644">
        <f t="shared" si="12"/>
        <v>0</v>
      </c>
      <c r="AA32" s="644">
        <f t="shared" si="12"/>
        <v>0</v>
      </c>
      <c r="AB32" s="648">
        <f t="shared" si="12"/>
        <v>4</v>
      </c>
      <c r="AC32" s="648">
        <f t="shared" si="12"/>
        <v>4</v>
      </c>
      <c r="AD32" s="648">
        <f t="shared" si="12"/>
        <v>0</v>
      </c>
      <c r="AE32" s="648">
        <f t="shared" si="12"/>
        <v>0</v>
      </c>
      <c r="AF32" s="649">
        <f t="shared" si="12"/>
        <v>2</v>
      </c>
      <c r="AG32" s="649">
        <f t="shared" si="12"/>
        <v>2</v>
      </c>
      <c r="AH32" s="649">
        <f t="shared" si="12"/>
        <v>0</v>
      </c>
      <c r="AI32" s="649">
        <f t="shared" si="12"/>
        <v>0</v>
      </c>
      <c r="AJ32" s="644">
        <f t="shared" si="12"/>
        <v>0</v>
      </c>
      <c r="AK32" s="644">
        <f t="shared" si="12"/>
        <v>0</v>
      </c>
      <c r="AL32" s="644">
        <f t="shared" si="12"/>
        <v>0</v>
      </c>
      <c r="AM32" s="644">
        <f t="shared" si="12"/>
        <v>0</v>
      </c>
    </row>
    <row r="33" spans="1:39" ht="14.95" thickBot="1" x14ac:dyDescent="0.3">
      <c r="A33" s="34"/>
      <c r="C33" s="744" t="s">
        <v>29</v>
      </c>
      <c r="D33" s="761"/>
      <c r="E33" s="762"/>
      <c r="F33" s="57">
        <f>SUM(F3:F26)</f>
        <v>826</v>
      </c>
      <c r="G33" s="57">
        <f t="shared" ref="G33:R33" si="13">SUM(G3:G26)</f>
        <v>307</v>
      </c>
      <c r="H33" s="57">
        <f t="shared" si="13"/>
        <v>15</v>
      </c>
      <c r="I33" s="57">
        <f t="shared" si="13"/>
        <v>1</v>
      </c>
      <c r="J33" s="57">
        <f t="shared" si="13"/>
        <v>127</v>
      </c>
      <c r="K33" s="57">
        <f t="shared" si="13"/>
        <v>88</v>
      </c>
      <c r="L33" s="57">
        <f t="shared" si="13"/>
        <v>0</v>
      </c>
      <c r="M33" s="57">
        <f t="shared" si="13"/>
        <v>5</v>
      </c>
      <c r="N33" s="57">
        <f t="shared" si="13"/>
        <v>7</v>
      </c>
      <c r="O33" s="57">
        <f t="shared" si="13"/>
        <v>0</v>
      </c>
      <c r="P33" s="57">
        <f t="shared" si="13"/>
        <v>5</v>
      </c>
      <c r="Q33" s="57">
        <f t="shared" si="13"/>
        <v>1</v>
      </c>
      <c r="R33" s="57">
        <f t="shared" si="13"/>
        <v>49</v>
      </c>
      <c r="S33" s="40"/>
      <c r="T33" s="40"/>
      <c r="U33" s="41"/>
      <c r="V33" s="41"/>
      <c r="W33" s="65" t="s">
        <v>29</v>
      </c>
      <c r="X33" s="57">
        <f t="shared" ref="X33:AM33" si="14">SUM(X3:X26)</f>
        <v>19</v>
      </c>
      <c r="Y33" s="57">
        <f t="shared" si="14"/>
        <v>17</v>
      </c>
      <c r="Z33" s="57">
        <f t="shared" si="14"/>
        <v>0</v>
      </c>
      <c r="AA33" s="57">
        <f t="shared" si="14"/>
        <v>2</v>
      </c>
      <c r="AB33" s="19">
        <f t="shared" si="14"/>
        <v>11</v>
      </c>
      <c r="AC33" s="19">
        <f t="shared" si="14"/>
        <v>10</v>
      </c>
      <c r="AD33" s="19">
        <f t="shared" si="14"/>
        <v>0</v>
      </c>
      <c r="AE33" s="19">
        <f t="shared" si="14"/>
        <v>1</v>
      </c>
      <c r="AF33" s="56">
        <f t="shared" si="14"/>
        <v>8</v>
      </c>
      <c r="AG33" s="56">
        <f t="shared" si="14"/>
        <v>7</v>
      </c>
      <c r="AH33" s="56">
        <f t="shared" si="14"/>
        <v>0</v>
      </c>
      <c r="AI33" s="56">
        <f t="shared" si="14"/>
        <v>1</v>
      </c>
      <c r="AJ33" s="57">
        <f t="shared" si="14"/>
        <v>0</v>
      </c>
      <c r="AK33" s="57">
        <f t="shared" si="14"/>
        <v>0</v>
      </c>
      <c r="AL33" s="57">
        <f t="shared" si="14"/>
        <v>0</v>
      </c>
      <c r="AM33" s="57">
        <f t="shared" si="14"/>
        <v>0</v>
      </c>
    </row>
    <row r="34" spans="1:39" x14ac:dyDescent="0.25">
      <c r="A34" s="513" t="s">
        <v>544</v>
      </c>
      <c r="W34" s="67"/>
    </row>
    <row r="35" spans="1:39" x14ac:dyDescent="0.25">
      <c r="A35" s="501" t="s">
        <v>229</v>
      </c>
    </row>
    <row r="36" spans="1:39" ht="16.3" x14ac:dyDescent="0.3">
      <c r="A36" s="475" t="s">
        <v>47</v>
      </c>
    </row>
  </sheetData>
  <mergeCells count="17">
    <mergeCell ref="AF1:AI1"/>
    <mergeCell ref="AJ1:AM1"/>
    <mergeCell ref="X1:AA1"/>
    <mergeCell ref="P1:R1"/>
    <mergeCell ref="H1:I1"/>
    <mergeCell ref="C28:E28"/>
    <mergeCell ref="C29:E29"/>
    <mergeCell ref="AB1:AE1"/>
    <mergeCell ref="C33:E33"/>
    <mergeCell ref="E1:G1"/>
    <mergeCell ref="A1:D1"/>
    <mergeCell ref="J1:M1"/>
    <mergeCell ref="N1:O1"/>
    <mergeCell ref="C27:E27"/>
    <mergeCell ref="C30:E30"/>
    <mergeCell ref="C31:E31"/>
    <mergeCell ref="C32:E32"/>
  </mergeCells>
  <pageMargins left="0.7" right="0.7" top="0.75" bottom="0.75" header="0.3" footer="0.3"/>
  <pageSetup paperSize="9" orientation="portrait" r:id="rId1"/>
  <ignoredErrors>
    <ignoredError sqref="F30:AM31 F27:AM27" formulaRange="1"/>
    <ignoredError sqref="S15 S18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325B-AEC1-47E0-8B33-9F0BF87A8067}">
  <dimension ref="A1:AP32"/>
  <sheetViews>
    <sheetView zoomScale="90" zoomScaleNormal="90" workbookViewId="0">
      <selection activeCell="S18" sqref="S18"/>
    </sheetView>
  </sheetViews>
  <sheetFormatPr defaultRowHeight="14.3" x14ac:dyDescent="0.25"/>
  <cols>
    <col min="1" max="1" width="9.75" customWidth="1"/>
    <col min="2" max="2" width="5.75" customWidth="1"/>
    <col min="3" max="3" width="13.625" customWidth="1"/>
    <col min="4" max="18" width="3.75" customWidth="1"/>
    <col min="19" max="19" width="6.75" bestFit="1" customWidth="1"/>
    <col min="20" max="20" width="18" bestFit="1" customWidth="1"/>
    <col min="21" max="21" width="10.5" bestFit="1" customWidth="1"/>
    <col min="22" max="22" width="16" bestFit="1" customWidth="1"/>
    <col min="23" max="23" width="16.25" bestFit="1" customWidth="1"/>
    <col min="24" max="39" width="3.75" customWidth="1"/>
    <col min="40" max="40" width="1.625" customWidth="1"/>
    <col min="41" max="41" width="12.75" bestFit="1" customWidth="1"/>
  </cols>
  <sheetData>
    <row r="1" spans="1:42" ht="14.95" customHeight="1" thickBot="1" x14ac:dyDescent="0.3">
      <c r="A1" s="841" t="s">
        <v>239</v>
      </c>
      <c r="B1" s="842"/>
      <c r="C1" s="842"/>
      <c r="D1" s="843"/>
      <c r="E1" s="844" t="s">
        <v>36</v>
      </c>
      <c r="F1" s="845"/>
      <c r="G1" s="846"/>
      <c r="H1" s="844" t="s">
        <v>35</v>
      </c>
      <c r="I1" s="846"/>
      <c r="J1" s="847" t="s">
        <v>16</v>
      </c>
      <c r="K1" s="848"/>
      <c r="L1" s="848"/>
      <c r="M1" s="849"/>
      <c r="N1" s="847" t="s">
        <v>17</v>
      </c>
      <c r="O1" s="849"/>
      <c r="P1" s="847" t="s">
        <v>38</v>
      </c>
      <c r="Q1" s="848"/>
      <c r="R1" s="849"/>
      <c r="S1" s="514" t="s">
        <v>18</v>
      </c>
      <c r="T1" s="515" t="s">
        <v>19</v>
      </c>
      <c r="U1" s="516" t="s">
        <v>20</v>
      </c>
      <c r="V1" s="516" t="s">
        <v>44</v>
      </c>
      <c r="W1" s="517" t="s">
        <v>45</v>
      </c>
      <c r="X1" s="838" t="s">
        <v>30</v>
      </c>
      <c r="Y1" s="839"/>
      <c r="Z1" s="839"/>
      <c r="AA1" s="840"/>
      <c r="AB1" s="838" t="s">
        <v>31</v>
      </c>
      <c r="AC1" s="839"/>
      <c r="AD1" s="839"/>
      <c r="AE1" s="840"/>
      <c r="AF1" s="838" t="s">
        <v>32</v>
      </c>
      <c r="AG1" s="839"/>
      <c r="AH1" s="839"/>
      <c r="AI1" s="839"/>
      <c r="AJ1" s="838" t="s">
        <v>48</v>
      </c>
      <c r="AK1" s="839"/>
      <c r="AL1" s="839"/>
      <c r="AM1" s="840"/>
      <c r="AO1" s="528" t="s">
        <v>196</v>
      </c>
    </row>
    <row r="2" spans="1:42" ht="14.95" customHeight="1" thickBot="1" x14ac:dyDescent="0.3">
      <c r="A2" s="518" t="s">
        <v>28</v>
      </c>
      <c r="B2" s="519" t="s">
        <v>27</v>
      </c>
      <c r="C2" s="520" t="s">
        <v>26</v>
      </c>
      <c r="D2" s="520" t="s">
        <v>37</v>
      </c>
      <c r="E2" s="521" t="s">
        <v>25</v>
      </c>
      <c r="F2" s="521" t="s">
        <v>11</v>
      </c>
      <c r="G2" s="521" t="s">
        <v>12</v>
      </c>
      <c r="H2" s="522" t="s">
        <v>33</v>
      </c>
      <c r="I2" s="522" t="s">
        <v>34</v>
      </c>
      <c r="J2" s="522" t="s">
        <v>21</v>
      </c>
      <c r="K2" s="522" t="s">
        <v>22</v>
      </c>
      <c r="L2" s="522" t="s">
        <v>9</v>
      </c>
      <c r="M2" s="522" t="s">
        <v>23</v>
      </c>
      <c r="N2" s="522" t="s">
        <v>24</v>
      </c>
      <c r="O2" s="522" t="s">
        <v>25</v>
      </c>
      <c r="P2" s="522" t="s">
        <v>33</v>
      </c>
      <c r="Q2" s="522" t="s">
        <v>34</v>
      </c>
      <c r="R2" s="522" t="s">
        <v>21</v>
      </c>
      <c r="S2" s="523"/>
      <c r="T2" s="524"/>
      <c r="U2" s="523"/>
      <c r="V2" s="525"/>
      <c r="W2" s="526"/>
      <c r="X2" s="527" t="s">
        <v>7</v>
      </c>
      <c r="Y2" s="527" t="s">
        <v>8</v>
      </c>
      <c r="Z2" s="527" t="s">
        <v>9</v>
      </c>
      <c r="AA2" s="527" t="s">
        <v>10</v>
      </c>
      <c r="AB2" s="527" t="s">
        <v>7</v>
      </c>
      <c r="AC2" s="527" t="s">
        <v>8</v>
      </c>
      <c r="AD2" s="527" t="s">
        <v>9</v>
      </c>
      <c r="AE2" s="527" t="s">
        <v>10</v>
      </c>
      <c r="AF2" s="527" t="s">
        <v>7</v>
      </c>
      <c r="AG2" s="527" t="s">
        <v>8</v>
      </c>
      <c r="AH2" s="527" t="s">
        <v>9</v>
      </c>
      <c r="AI2" s="527" t="s">
        <v>10</v>
      </c>
      <c r="AJ2" s="527" t="s">
        <v>7</v>
      </c>
      <c r="AK2" s="527" t="s">
        <v>8</v>
      </c>
      <c r="AL2" s="527" t="s">
        <v>9</v>
      </c>
      <c r="AM2" s="527" t="s">
        <v>10</v>
      </c>
      <c r="AO2" s="319" t="s">
        <v>197</v>
      </c>
      <c r="AP2" s="1"/>
    </row>
    <row r="3" spans="1:42" ht="14.95" customHeight="1" thickBot="1" x14ac:dyDescent="0.3">
      <c r="A3" s="552" t="s">
        <v>374</v>
      </c>
      <c r="B3" s="530" t="s">
        <v>415</v>
      </c>
      <c r="C3" s="530" t="s">
        <v>414</v>
      </c>
      <c r="D3" s="531" t="s">
        <v>153</v>
      </c>
      <c r="E3" s="531" t="s">
        <v>8</v>
      </c>
      <c r="F3" s="531">
        <v>60</v>
      </c>
      <c r="G3" s="531">
        <v>12</v>
      </c>
      <c r="H3" s="531">
        <v>1</v>
      </c>
      <c r="I3" s="531">
        <v>0</v>
      </c>
      <c r="J3" s="531">
        <v>10</v>
      </c>
      <c r="K3" s="531">
        <v>5</v>
      </c>
      <c r="L3" s="531">
        <v>0</v>
      </c>
      <c r="M3" s="531">
        <v>0</v>
      </c>
      <c r="N3" s="531">
        <v>1</v>
      </c>
      <c r="O3" s="531">
        <v>0</v>
      </c>
      <c r="P3" s="531">
        <v>0</v>
      </c>
      <c r="Q3" s="531">
        <v>0</v>
      </c>
      <c r="R3" s="531">
        <v>2</v>
      </c>
      <c r="S3" s="641" t="s">
        <v>269</v>
      </c>
      <c r="T3" s="532" t="s">
        <v>286</v>
      </c>
      <c r="U3" s="533" t="s">
        <v>50</v>
      </c>
      <c r="V3" s="562" t="s">
        <v>284</v>
      </c>
      <c r="W3" s="534" t="s">
        <v>323</v>
      </c>
      <c r="X3" s="535">
        <v>1</v>
      </c>
      <c r="Y3" s="535">
        <v>1</v>
      </c>
      <c r="Z3" s="535">
        <v>0</v>
      </c>
      <c r="AA3" s="536">
        <v>0</v>
      </c>
      <c r="AB3" s="535">
        <v>1</v>
      </c>
      <c r="AC3" s="535">
        <v>1</v>
      </c>
      <c r="AD3" s="535">
        <v>0</v>
      </c>
      <c r="AE3" s="536">
        <v>0</v>
      </c>
      <c r="AF3" s="535">
        <v>0</v>
      </c>
      <c r="AG3" s="535">
        <v>0</v>
      </c>
      <c r="AH3" s="535">
        <v>0</v>
      </c>
      <c r="AI3" s="537">
        <v>0</v>
      </c>
      <c r="AJ3" s="535">
        <v>0</v>
      </c>
      <c r="AK3" s="535">
        <v>0</v>
      </c>
      <c r="AL3" s="535">
        <v>0</v>
      </c>
      <c r="AM3" s="537">
        <v>0</v>
      </c>
      <c r="AO3" s="435" t="s">
        <v>64</v>
      </c>
      <c r="AP3" s="436">
        <f>trailfindersPWRhistplayed</f>
        <v>45</v>
      </c>
    </row>
    <row r="4" spans="1:42" ht="14.95" customHeight="1" thickBot="1" x14ac:dyDescent="0.3">
      <c r="A4" s="550" t="s">
        <v>273</v>
      </c>
      <c r="B4" s="541" t="s">
        <v>415</v>
      </c>
      <c r="C4" s="541" t="s">
        <v>0</v>
      </c>
      <c r="D4" s="542" t="s">
        <v>12</v>
      </c>
      <c r="E4" s="542" t="s">
        <v>10</v>
      </c>
      <c r="F4" s="542">
        <v>22</v>
      </c>
      <c r="G4" s="542">
        <v>38</v>
      </c>
      <c r="H4" s="542">
        <v>1</v>
      </c>
      <c r="I4" s="542">
        <v>0</v>
      </c>
      <c r="J4" s="542">
        <v>4</v>
      </c>
      <c r="K4" s="542">
        <v>1</v>
      </c>
      <c r="L4" s="542">
        <v>0</v>
      </c>
      <c r="M4" s="542">
        <v>0</v>
      </c>
      <c r="N4" s="542">
        <v>0</v>
      </c>
      <c r="O4" s="542">
        <v>0</v>
      </c>
      <c r="P4" s="542">
        <v>1</v>
      </c>
      <c r="Q4" s="542">
        <v>0</v>
      </c>
      <c r="R4" s="542">
        <v>6</v>
      </c>
      <c r="S4" s="640" t="s">
        <v>416</v>
      </c>
      <c r="T4" s="544" t="s">
        <v>282</v>
      </c>
      <c r="U4" s="545" t="s">
        <v>50</v>
      </c>
      <c r="V4" s="613" t="s">
        <v>283</v>
      </c>
      <c r="W4" s="546" t="s">
        <v>284</v>
      </c>
      <c r="X4" s="547">
        <v>1</v>
      </c>
      <c r="Y4" s="547">
        <v>0</v>
      </c>
      <c r="Z4" s="547">
        <v>0</v>
      </c>
      <c r="AA4" s="548">
        <v>1</v>
      </c>
      <c r="AB4" s="547">
        <v>0</v>
      </c>
      <c r="AC4" s="547">
        <v>0</v>
      </c>
      <c r="AD4" s="547">
        <v>0</v>
      </c>
      <c r="AE4" s="548">
        <v>0</v>
      </c>
      <c r="AF4" s="547">
        <v>1</v>
      </c>
      <c r="AG4" s="547">
        <v>0</v>
      </c>
      <c r="AH4" s="547">
        <v>0</v>
      </c>
      <c r="AI4" s="549">
        <v>1</v>
      </c>
      <c r="AJ4" s="547">
        <v>0</v>
      </c>
      <c r="AK4" s="547">
        <v>0</v>
      </c>
      <c r="AL4" s="547">
        <v>0</v>
      </c>
      <c r="AM4" s="549">
        <v>0</v>
      </c>
      <c r="AO4" s="373" t="s">
        <v>65</v>
      </c>
      <c r="AP4" s="437">
        <f>trailfindersPWRhistwon</f>
        <v>15</v>
      </c>
    </row>
    <row r="5" spans="1:42" ht="14.95" customHeight="1" thickBot="1" x14ac:dyDescent="0.3">
      <c r="A5" s="550" t="s">
        <v>405</v>
      </c>
      <c r="B5" s="541" t="s">
        <v>415</v>
      </c>
      <c r="C5" s="541" t="s">
        <v>4</v>
      </c>
      <c r="D5" s="542" t="s">
        <v>12</v>
      </c>
      <c r="E5" s="542" t="s">
        <v>10</v>
      </c>
      <c r="F5" s="542">
        <v>5</v>
      </c>
      <c r="G5" s="542">
        <v>19</v>
      </c>
      <c r="H5" s="542">
        <v>0</v>
      </c>
      <c r="I5" s="542">
        <v>0</v>
      </c>
      <c r="J5" s="542">
        <v>1</v>
      </c>
      <c r="K5" s="542">
        <v>0</v>
      </c>
      <c r="L5" s="542">
        <v>0</v>
      </c>
      <c r="M5" s="542">
        <v>0</v>
      </c>
      <c r="N5" s="542">
        <v>0</v>
      </c>
      <c r="O5" s="542">
        <v>0</v>
      </c>
      <c r="P5" s="542">
        <v>0</v>
      </c>
      <c r="Q5" s="542">
        <v>0</v>
      </c>
      <c r="R5" s="542">
        <v>3</v>
      </c>
      <c r="S5" s="640" t="s">
        <v>417</v>
      </c>
      <c r="T5" s="544" t="s">
        <v>378</v>
      </c>
      <c r="U5" s="545" t="s">
        <v>50</v>
      </c>
      <c r="V5" s="613" t="s">
        <v>326</v>
      </c>
      <c r="W5" s="546" t="s">
        <v>290</v>
      </c>
      <c r="X5" s="547">
        <v>1</v>
      </c>
      <c r="Y5" s="547">
        <v>0</v>
      </c>
      <c r="Z5" s="547">
        <v>0</v>
      </c>
      <c r="AA5" s="548">
        <v>1</v>
      </c>
      <c r="AB5" s="547">
        <v>0</v>
      </c>
      <c r="AC5" s="547">
        <v>0</v>
      </c>
      <c r="AD5" s="547">
        <v>0</v>
      </c>
      <c r="AE5" s="548">
        <v>0</v>
      </c>
      <c r="AF5" s="547">
        <v>1</v>
      </c>
      <c r="AG5" s="547">
        <v>0</v>
      </c>
      <c r="AH5" s="547">
        <v>0</v>
      </c>
      <c r="AI5" s="549">
        <v>1</v>
      </c>
      <c r="AJ5" s="547">
        <v>0</v>
      </c>
      <c r="AK5" s="547">
        <v>0</v>
      </c>
      <c r="AL5" s="547">
        <v>0</v>
      </c>
      <c r="AM5" s="549">
        <v>0</v>
      </c>
      <c r="AO5" s="373" t="s">
        <v>192</v>
      </c>
      <c r="AP5" s="437">
        <f>trailfindersPWRhistdrawn</f>
        <v>2</v>
      </c>
    </row>
    <row r="6" spans="1:42" ht="14.95" customHeight="1" thickBot="1" x14ac:dyDescent="0.3">
      <c r="A6" s="493" t="s">
        <v>240</v>
      </c>
      <c r="B6" s="152" t="s">
        <v>73</v>
      </c>
      <c r="C6" s="152" t="s">
        <v>4</v>
      </c>
      <c r="D6" s="153" t="s">
        <v>153</v>
      </c>
      <c r="E6" s="153" t="s">
        <v>10</v>
      </c>
      <c r="F6" s="153">
        <v>12</v>
      </c>
      <c r="G6" s="153">
        <v>24</v>
      </c>
      <c r="H6" s="454">
        <v>0</v>
      </c>
      <c r="I6" s="454">
        <v>0</v>
      </c>
      <c r="J6" s="454">
        <v>2</v>
      </c>
      <c r="K6" s="454">
        <v>1</v>
      </c>
      <c r="L6" s="454">
        <v>0</v>
      </c>
      <c r="M6" s="454">
        <v>0</v>
      </c>
      <c r="N6" s="454">
        <v>1</v>
      </c>
      <c r="O6" s="454">
        <v>0</v>
      </c>
      <c r="P6" s="454">
        <v>1</v>
      </c>
      <c r="Q6" s="454">
        <v>0</v>
      </c>
      <c r="R6" s="454">
        <v>4</v>
      </c>
      <c r="S6" s="357" t="s">
        <v>305</v>
      </c>
      <c r="T6" s="338" t="s">
        <v>289</v>
      </c>
      <c r="U6" s="339" t="s">
        <v>50</v>
      </c>
      <c r="V6" s="158" t="s">
        <v>293</v>
      </c>
      <c r="W6" s="340" t="s">
        <v>286</v>
      </c>
      <c r="X6" s="490">
        <v>1</v>
      </c>
      <c r="Y6" s="490">
        <v>0</v>
      </c>
      <c r="Z6" s="490">
        <v>0</v>
      </c>
      <c r="AA6" s="491">
        <v>1</v>
      </c>
      <c r="AB6" s="490">
        <v>1</v>
      </c>
      <c r="AC6" s="490">
        <v>0</v>
      </c>
      <c r="AD6" s="490">
        <v>0</v>
      </c>
      <c r="AE6" s="491">
        <v>1</v>
      </c>
      <c r="AF6" s="490">
        <v>0</v>
      </c>
      <c r="AG6" s="490">
        <v>0</v>
      </c>
      <c r="AH6" s="490">
        <v>0</v>
      </c>
      <c r="AI6" s="492">
        <v>0</v>
      </c>
      <c r="AJ6" s="490">
        <v>0</v>
      </c>
      <c r="AK6" s="490">
        <v>0</v>
      </c>
      <c r="AL6" s="490">
        <v>0</v>
      </c>
      <c r="AM6" s="492">
        <v>0</v>
      </c>
      <c r="AO6" s="373" t="s">
        <v>66</v>
      </c>
      <c r="AP6" s="437">
        <f>trailfindersPWRhistlost</f>
        <v>28</v>
      </c>
    </row>
    <row r="7" spans="1:42" ht="14.95" customHeight="1" thickBot="1" x14ac:dyDescent="0.35">
      <c r="A7" s="161" t="s">
        <v>241</v>
      </c>
      <c r="B7" s="162" t="s">
        <v>73</v>
      </c>
      <c r="C7" s="147" t="s">
        <v>3</v>
      </c>
      <c r="D7" s="148" t="s">
        <v>12</v>
      </c>
      <c r="E7" s="148" t="s">
        <v>8</v>
      </c>
      <c r="F7" s="148">
        <v>64</v>
      </c>
      <c r="G7" s="148">
        <v>22</v>
      </c>
      <c r="H7" s="453">
        <v>1</v>
      </c>
      <c r="I7" s="453">
        <v>0</v>
      </c>
      <c r="J7" s="453">
        <v>10</v>
      </c>
      <c r="K7" s="453">
        <v>7</v>
      </c>
      <c r="L7" s="453">
        <v>0</v>
      </c>
      <c r="M7" s="453">
        <v>0</v>
      </c>
      <c r="N7" s="453">
        <v>1</v>
      </c>
      <c r="O7" s="453">
        <v>0</v>
      </c>
      <c r="P7" s="453">
        <v>1</v>
      </c>
      <c r="Q7" s="453">
        <v>0</v>
      </c>
      <c r="R7" s="453">
        <v>4</v>
      </c>
      <c r="S7" s="176" t="s">
        <v>386</v>
      </c>
      <c r="T7" s="172" t="s">
        <v>378</v>
      </c>
      <c r="U7" s="164" t="s">
        <v>50</v>
      </c>
      <c r="V7" s="164" t="s">
        <v>325</v>
      </c>
      <c r="W7" s="164" t="s">
        <v>295</v>
      </c>
      <c r="X7" s="164">
        <v>1</v>
      </c>
      <c r="Y7" s="164">
        <v>1</v>
      </c>
      <c r="Z7" s="164">
        <v>0</v>
      </c>
      <c r="AA7" s="165">
        <v>0</v>
      </c>
      <c r="AB7" s="164">
        <v>0</v>
      </c>
      <c r="AC7" s="164">
        <v>0</v>
      </c>
      <c r="AD7" s="164">
        <v>0</v>
      </c>
      <c r="AE7" s="165">
        <v>0</v>
      </c>
      <c r="AF7" s="164">
        <v>1</v>
      </c>
      <c r="AG7" s="164">
        <v>1</v>
      </c>
      <c r="AH7" s="164">
        <v>0</v>
      </c>
      <c r="AI7" s="166">
        <v>0</v>
      </c>
      <c r="AJ7" s="164">
        <v>0</v>
      </c>
      <c r="AK7" s="164">
        <v>0</v>
      </c>
      <c r="AL7" s="164">
        <v>0</v>
      </c>
      <c r="AM7" s="166">
        <v>0</v>
      </c>
      <c r="AO7" s="373" t="s">
        <v>193</v>
      </c>
      <c r="AP7" s="437">
        <f>trailfindersPWRhistptsfor</f>
        <v>1248</v>
      </c>
    </row>
    <row r="8" spans="1:42" ht="14.95" customHeight="1" thickBot="1" x14ac:dyDescent="0.35">
      <c r="A8" s="154" t="s">
        <v>242</v>
      </c>
      <c r="B8" s="155" t="s">
        <v>73</v>
      </c>
      <c r="C8" s="152" t="s">
        <v>49</v>
      </c>
      <c r="D8" s="153" t="s">
        <v>153</v>
      </c>
      <c r="E8" s="153" t="s">
        <v>8</v>
      </c>
      <c r="F8" s="153">
        <v>45</v>
      </c>
      <c r="G8" s="153">
        <v>19</v>
      </c>
      <c r="H8" s="454">
        <v>1</v>
      </c>
      <c r="I8" s="454">
        <v>0</v>
      </c>
      <c r="J8" s="454">
        <v>7</v>
      </c>
      <c r="K8" s="454">
        <v>5</v>
      </c>
      <c r="L8" s="454">
        <v>0</v>
      </c>
      <c r="M8" s="454">
        <v>0</v>
      </c>
      <c r="N8" s="454">
        <v>0</v>
      </c>
      <c r="O8" s="454">
        <v>0</v>
      </c>
      <c r="P8" s="454">
        <v>0</v>
      </c>
      <c r="Q8" s="454">
        <v>0</v>
      </c>
      <c r="R8" s="454">
        <v>3</v>
      </c>
      <c r="S8" s="347" t="s">
        <v>453</v>
      </c>
      <c r="T8" s="338" t="s">
        <v>282</v>
      </c>
      <c r="U8" s="339" t="s">
        <v>50</v>
      </c>
      <c r="V8" s="340" t="s">
        <v>447</v>
      </c>
      <c r="W8" s="158" t="s">
        <v>384</v>
      </c>
      <c r="X8" s="158">
        <v>1</v>
      </c>
      <c r="Y8" s="158">
        <v>1</v>
      </c>
      <c r="Z8" s="158">
        <v>0</v>
      </c>
      <c r="AA8" s="159">
        <v>0</v>
      </c>
      <c r="AB8" s="158">
        <v>1</v>
      </c>
      <c r="AC8" s="158">
        <v>1</v>
      </c>
      <c r="AD8" s="158">
        <v>0</v>
      </c>
      <c r="AE8" s="159">
        <v>0</v>
      </c>
      <c r="AF8" s="158">
        <v>0</v>
      </c>
      <c r="AG8" s="158">
        <v>0</v>
      </c>
      <c r="AH8" s="158">
        <v>0</v>
      </c>
      <c r="AI8" s="160">
        <v>0</v>
      </c>
      <c r="AJ8" s="158">
        <v>0</v>
      </c>
      <c r="AK8" s="158">
        <v>0</v>
      </c>
      <c r="AL8" s="158">
        <v>0</v>
      </c>
      <c r="AM8" s="160">
        <v>0</v>
      </c>
      <c r="AO8" s="373" t="s">
        <v>194</v>
      </c>
      <c r="AP8" s="437">
        <f>trailfindersPWRhistptsaga</f>
        <v>1401</v>
      </c>
    </row>
    <row r="9" spans="1:42" ht="14.95" customHeight="1" thickBot="1" x14ac:dyDescent="0.3">
      <c r="A9" s="154" t="s">
        <v>243</v>
      </c>
      <c r="B9" s="155" t="s">
        <v>73</v>
      </c>
      <c r="C9" s="152" t="s">
        <v>1</v>
      </c>
      <c r="D9" s="153" t="s">
        <v>153</v>
      </c>
      <c r="E9" s="153" t="s">
        <v>10</v>
      </c>
      <c r="F9" s="153">
        <v>5</v>
      </c>
      <c r="G9" s="153">
        <v>57</v>
      </c>
      <c r="H9" s="454">
        <v>0</v>
      </c>
      <c r="I9" s="454">
        <v>0</v>
      </c>
      <c r="J9" s="454">
        <v>1</v>
      </c>
      <c r="K9" s="454">
        <v>0</v>
      </c>
      <c r="L9" s="454">
        <v>0</v>
      </c>
      <c r="M9" s="454">
        <v>0</v>
      </c>
      <c r="N9" s="454">
        <v>0</v>
      </c>
      <c r="O9" s="454">
        <v>0</v>
      </c>
      <c r="P9" s="454">
        <v>1</v>
      </c>
      <c r="Q9" s="454">
        <v>0</v>
      </c>
      <c r="R9" s="454">
        <v>9</v>
      </c>
      <c r="S9" s="175" t="s">
        <v>426</v>
      </c>
      <c r="T9" s="157" t="s">
        <v>326</v>
      </c>
      <c r="U9" s="158" t="s">
        <v>50</v>
      </c>
      <c r="V9" s="158" t="s">
        <v>447</v>
      </c>
      <c r="W9" s="160" t="s">
        <v>288</v>
      </c>
      <c r="X9" s="158">
        <v>1</v>
      </c>
      <c r="Y9" s="158">
        <v>0</v>
      </c>
      <c r="Z9" s="158">
        <v>0</v>
      </c>
      <c r="AA9" s="158">
        <v>1</v>
      </c>
      <c r="AB9" s="158">
        <v>1</v>
      </c>
      <c r="AC9" s="158">
        <v>0</v>
      </c>
      <c r="AD9" s="158">
        <v>0</v>
      </c>
      <c r="AE9" s="158">
        <v>1</v>
      </c>
      <c r="AF9" s="158">
        <v>0</v>
      </c>
      <c r="AG9" s="158">
        <v>0</v>
      </c>
      <c r="AH9" s="158">
        <v>0</v>
      </c>
      <c r="AI9" s="157">
        <v>0</v>
      </c>
      <c r="AJ9" s="158">
        <v>0</v>
      </c>
      <c r="AK9" s="158">
        <v>0</v>
      </c>
      <c r="AL9" s="158">
        <v>0</v>
      </c>
      <c r="AM9" s="157">
        <v>0</v>
      </c>
    </row>
    <row r="10" spans="1:42" ht="14.95" customHeight="1" thickBot="1" x14ac:dyDescent="0.3">
      <c r="A10" s="161" t="s">
        <v>163</v>
      </c>
      <c r="B10" s="162" t="s">
        <v>73</v>
      </c>
      <c r="C10" s="147" t="s">
        <v>63</v>
      </c>
      <c r="D10" s="148" t="s">
        <v>12</v>
      </c>
      <c r="E10" s="148" t="s">
        <v>10</v>
      </c>
      <c r="F10" s="148">
        <v>28</v>
      </c>
      <c r="G10" s="148">
        <v>29</v>
      </c>
      <c r="H10" s="453">
        <v>1</v>
      </c>
      <c r="I10" s="453">
        <v>1</v>
      </c>
      <c r="J10" s="453">
        <v>4</v>
      </c>
      <c r="K10" s="453">
        <v>4</v>
      </c>
      <c r="L10" s="453">
        <v>0</v>
      </c>
      <c r="M10" s="453">
        <v>0</v>
      </c>
      <c r="N10" s="453">
        <v>0</v>
      </c>
      <c r="O10" s="453">
        <v>0</v>
      </c>
      <c r="P10" s="453">
        <v>1</v>
      </c>
      <c r="Q10" s="453">
        <v>0</v>
      </c>
      <c r="R10" s="453">
        <v>5</v>
      </c>
      <c r="S10" s="171" t="s">
        <v>496</v>
      </c>
      <c r="T10" s="172" t="s">
        <v>289</v>
      </c>
      <c r="U10" s="164" t="s">
        <v>491</v>
      </c>
      <c r="V10" s="164" t="s">
        <v>383</v>
      </c>
      <c r="W10" s="166" t="s">
        <v>284</v>
      </c>
      <c r="X10" s="164">
        <v>1</v>
      </c>
      <c r="Y10" s="164">
        <v>0</v>
      </c>
      <c r="Z10" s="164">
        <v>0</v>
      </c>
      <c r="AA10" s="164">
        <v>1</v>
      </c>
      <c r="AB10" s="164">
        <v>0</v>
      </c>
      <c r="AC10" s="164">
        <v>0</v>
      </c>
      <c r="AD10" s="164">
        <v>0</v>
      </c>
      <c r="AE10" s="164">
        <v>0</v>
      </c>
      <c r="AF10" s="164">
        <v>1</v>
      </c>
      <c r="AG10" s="164">
        <v>0</v>
      </c>
      <c r="AH10" s="164">
        <v>0</v>
      </c>
      <c r="AI10" s="172">
        <v>1</v>
      </c>
      <c r="AJ10" s="164">
        <v>0</v>
      </c>
      <c r="AK10" s="164">
        <v>0</v>
      </c>
      <c r="AL10" s="164">
        <v>0</v>
      </c>
      <c r="AM10" s="172">
        <v>0</v>
      </c>
    </row>
    <row r="11" spans="1:42" ht="14.95" customHeight="1" thickBot="1" x14ac:dyDescent="0.35">
      <c r="A11" s="154" t="s">
        <v>244</v>
      </c>
      <c r="B11" s="155" t="s">
        <v>73</v>
      </c>
      <c r="C11" s="152" t="s">
        <v>70</v>
      </c>
      <c r="D11" s="153" t="s">
        <v>153</v>
      </c>
      <c r="E11" s="153" t="s">
        <v>8</v>
      </c>
      <c r="F11" s="153">
        <v>57</v>
      </c>
      <c r="G11" s="153">
        <v>10</v>
      </c>
      <c r="H11" s="454">
        <v>1</v>
      </c>
      <c r="I11" s="454">
        <v>0</v>
      </c>
      <c r="J11" s="454">
        <v>9</v>
      </c>
      <c r="K11" s="454">
        <v>6</v>
      </c>
      <c r="L11" s="454">
        <v>0</v>
      </c>
      <c r="M11" s="454">
        <v>0</v>
      </c>
      <c r="N11" s="454">
        <v>1</v>
      </c>
      <c r="O11" s="454">
        <v>0</v>
      </c>
      <c r="P11" s="454">
        <v>0</v>
      </c>
      <c r="Q11" s="454">
        <v>0</v>
      </c>
      <c r="R11" s="454">
        <v>2</v>
      </c>
      <c r="S11" s="358" t="s">
        <v>429</v>
      </c>
      <c r="T11" s="342" t="s">
        <v>294</v>
      </c>
      <c r="U11" s="343" t="s">
        <v>50</v>
      </c>
      <c r="V11" s="158" t="s">
        <v>384</v>
      </c>
      <c r="W11" s="160" t="s">
        <v>520</v>
      </c>
      <c r="X11" s="158">
        <v>1</v>
      </c>
      <c r="Y11" s="158">
        <v>1</v>
      </c>
      <c r="Z11" s="158">
        <v>0</v>
      </c>
      <c r="AA11" s="158">
        <v>0</v>
      </c>
      <c r="AB11" s="158">
        <v>1</v>
      </c>
      <c r="AC11" s="158">
        <v>1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7">
        <v>0</v>
      </c>
      <c r="AJ11" s="158">
        <v>0</v>
      </c>
      <c r="AK11" s="158">
        <v>0</v>
      </c>
      <c r="AL11" s="158">
        <v>0</v>
      </c>
      <c r="AM11" s="157">
        <v>0</v>
      </c>
    </row>
    <row r="12" spans="1:42" ht="14.95" customHeight="1" thickBot="1" x14ac:dyDescent="0.3">
      <c r="A12" s="161" t="s">
        <v>162</v>
      </c>
      <c r="B12" s="162" t="s">
        <v>73</v>
      </c>
      <c r="C12" s="147" t="s">
        <v>540</v>
      </c>
      <c r="D12" s="148" t="s">
        <v>12</v>
      </c>
      <c r="E12" s="148" t="s">
        <v>9</v>
      </c>
      <c r="F12" s="148">
        <v>29</v>
      </c>
      <c r="G12" s="148">
        <v>29</v>
      </c>
      <c r="H12" s="453">
        <v>1</v>
      </c>
      <c r="I12" s="453">
        <v>0</v>
      </c>
      <c r="J12" s="453">
        <v>4</v>
      </c>
      <c r="K12" s="453">
        <v>3</v>
      </c>
      <c r="L12" s="453">
        <v>0</v>
      </c>
      <c r="M12" s="453">
        <v>1</v>
      </c>
      <c r="N12" s="453">
        <v>0</v>
      </c>
      <c r="O12" s="453">
        <v>0</v>
      </c>
      <c r="P12" s="453">
        <v>1</v>
      </c>
      <c r="Q12" s="453">
        <v>0</v>
      </c>
      <c r="R12" s="453">
        <v>5</v>
      </c>
      <c r="S12" s="171" t="s">
        <v>550</v>
      </c>
      <c r="T12" s="172" t="s">
        <v>291</v>
      </c>
      <c r="U12" s="164" t="s">
        <v>50</v>
      </c>
      <c r="V12" s="164" t="s">
        <v>292</v>
      </c>
      <c r="W12" s="166" t="s">
        <v>290</v>
      </c>
      <c r="X12" s="164">
        <v>1</v>
      </c>
      <c r="Y12" s="164">
        <v>0</v>
      </c>
      <c r="Z12" s="164">
        <v>1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4">
        <v>1</v>
      </c>
      <c r="AG12" s="164">
        <v>0</v>
      </c>
      <c r="AH12" s="164">
        <v>1</v>
      </c>
      <c r="AI12" s="172">
        <v>0</v>
      </c>
      <c r="AJ12" s="164">
        <v>0</v>
      </c>
      <c r="AK12" s="164">
        <v>0</v>
      </c>
      <c r="AL12" s="164">
        <v>0</v>
      </c>
      <c r="AM12" s="172">
        <v>0</v>
      </c>
    </row>
    <row r="13" spans="1:42" ht="14.95" customHeight="1" thickBot="1" x14ac:dyDescent="0.35">
      <c r="A13" s="154" t="s">
        <v>507</v>
      </c>
      <c r="B13" s="155" t="s">
        <v>73</v>
      </c>
      <c r="C13" s="152" t="s">
        <v>0</v>
      </c>
      <c r="D13" s="153" t="s">
        <v>153</v>
      </c>
      <c r="E13" s="153" t="s">
        <v>10</v>
      </c>
      <c r="F13" s="153">
        <v>26</v>
      </c>
      <c r="G13" s="153">
        <v>27</v>
      </c>
      <c r="H13" s="454">
        <v>1</v>
      </c>
      <c r="I13" s="454">
        <v>1</v>
      </c>
      <c r="J13" s="454">
        <v>4</v>
      </c>
      <c r="K13" s="454">
        <v>3</v>
      </c>
      <c r="L13" s="454">
        <v>0</v>
      </c>
      <c r="M13" s="454">
        <v>0</v>
      </c>
      <c r="N13" s="454">
        <v>2</v>
      </c>
      <c r="O13" s="454">
        <v>0</v>
      </c>
      <c r="P13" s="454">
        <v>1</v>
      </c>
      <c r="Q13" s="454">
        <v>0</v>
      </c>
      <c r="R13" s="454">
        <v>5</v>
      </c>
      <c r="S13" s="156" t="s">
        <v>561</v>
      </c>
      <c r="T13" s="157" t="s">
        <v>378</v>
      </c>
      <c r="U13" s="158" t="s">
        <v>50</v>
      </c>
      <c r="V13" s="158" t="s">
        <v>558</v>
      </c>
      <c r="W13" s="160" t="s">
        <v>384</v>
      </c>
      <c r="X13" s="158">
        <v>1</v>
      </c>
      <c r="Y13" s="158">
        <v>0</v>
      </c>
      <c r="Z13" s="158">
        <v>0</v>
      </c>
      <c r="AA13" s="158">
        <v>1</v>
      </c>
      <c r="AB13" s="158">
        <v>1</v>
      </c>
      <c r="AC13" s="158">
        <v>0</v>
      </c>
      <c r="AD13" s="158">
        <v>0</v>
      </c>
      <c r="AE13" s="158">
        <v>1</v>
      </c>
      <c r="AF13" s="158">
        <v>0</v>
      </c>
      <c r="AG13" s="158">
        <v>0</v>
      </c>
      <c r="AH13" s="158">
        <v>0</v>
      </c>
      <c r="AI13" s="157">
        <v>0</v>
      </c>
      <c r="AJ13" s="158">
        <v>0</v>
      </c>
      <c r="AK13" s="158">
        <v>0</v>
      </c>
      <c r="AL13" s="158">
        <v>0</v>
      </c>
      <c r="AM13" s="157">
        <v>0</v>
      </c>
    </row>
    <row r="14" spans="1:42" ht="14.95" customHeight="1" thickBot="1" x14ac:dyDescent="0.3">
      <c r="A14" s="161" t="s">
        <v>509</v>
      </c>
      <c r="B14" s="162" t="s">
        <v>73</v>
      </c>
      <c r="C14" s="147" t="s">
        <v>49</v>
      </c>
      <c r="D14" s="148" t="s">
        <v>12</v>
      </c>
      <c r="E14" s="148" t="s">
        <v>9</v>
      </c>
      <c r="F14" s="148">
        <v>26</v>
      </c>
      <c r="G14" s="148">
        <v>26</v>
      </c>
      <c r="H14" s="453">
        <v>1</v>
      </c>
      <c r="I14" s="453">
        <v>0</v>
      </c>
      <c r="J14" s="453">
        <v>4</v>
      </c>
      <c r="K14" s="453">
        <v>3</v>
      </c>
      <c r="L14" s="453">
        <v>0</v>
      </c>
      <c r="M14" s="453">
        <v>0</v>
      </c>
      <c r="N14" s="453">
        <v>0</v>
      </c>
      <c r="O14" s="453">
        <v>0</v>
      </c>
      <c r="P14" s="453">
        <v>1</v>
      </c>
      <c r="Q14" s="453">
        <v>0</v>
      </c>
      <c r="R14" s="453">
        <v>4</v>
      </c>
      <c r="S14" s="171" t="s">
        <v>576</v>
      </c>
      <c r="T14" s="172" t="s">
        <v>573</v>
      </c>
      <c r="U14" s="164" t="s">
        <v>50</v>
      </c>
      <c r="V14" s="164" t="s">
        <v>438</v>
      </c>
      <c r="W14" s="166" t="s">
        <v>286</v>
      </c>
      <c r="X14" s="164">
        <v>1</v>
      </c>
      <c r="Y14" s="164">
        <v>0</v>
      </c>
      <c r="Z14" s="164">
        <v>1</v>
      </c>
      <c r="AA14" s="164">
        <v>0</v>
      </c>
      <c r="AB14" s="164">
        <v>0</v>
      </c>
      <c r="AC14" s="164">
        <v>0</v>
      </c>
      <c r="AD14" s="164">
        <v>0</v>
      </c>
      <c r="AE14" s="164">
        <v>0</v>
      </c>
      <c r="AF14" s="164">
        <v>1</v>
      </c>
      <c r="AG14" s="164">
        <v>0</v>
      </c>
      <c r="AH14" s="164">
        <v>1</v>
      </c>
      <c r="AI14" s="172">
        <v>0</v>
      </c>
      <c r="AJ14" s="164">
        <v>0</v>
      </c>
      <c r="AK14" s="164">
        <v>0</v>
      </c>
      <c r="AL14" s="164">
        <v>0</v>
      </c>
      <c r="AM14" s="172">
        <v>0</v>
      </c>
    </row>
    <row r="15" spans="1:42" ht="14.95" customHeight="1" thickBot="1" x14ac:dyDescent="0.35">
      <c r="A15" s="154" t="s">
        <v>511</v>
      </c>
      <c r="B15" s="155" t="s">
        <v>73</v>
      </c>
      <c r="C15" s="152" t="s">
        <v>3</v>
      </c>
      <c r="D15" s="153" t="s">
        <v>153</v>
      </c>
      <c r="E15" s="153" t="s">
        <v>10</v>
      </c>
      <c r="F15" s="153">
        <v>31</v>
      </c>
      <c r="G15" s="153">
        <v>36</v>
      </c>
      <c r="H15" s="454">
        <v>1</v>
      </c>
      <c r="I15" s="454">
        <v>1</v>
      </c>
      <c r="J15" s="454">
        <v>5</v>
      </c>
      <c r="K15" s="454">
        <v>2</v>
      </c>
      <c r="L15" s="454">
        <v>0</v>
      </c>
      <c r="M15" s="454">
        <v>0</v>
      </c>
      <c r="N15" s="454">
        <v>2</v>
      </c>
      <c r="O15" s="454">
        <v>0</v>
      </c>
      <c r="P15" s="454">
        <v>1</v>
      </c>
      <c r="Q15" s="454">
        <v>0</v>
      </c>
      <c r="R15" s="454">
        <v>5</v>
      </c>
      <c r="S15" s="348" t="s">
        <v>391</v>
      </c>
      <c r="T15" s="157" t="s">
        <v>291</v>
      </c>
      <c r="U15" s="158" t="s">
        <v>50</v>
      </c>
      <c r="V15" s="158" t="s">
        <v>384</v>
      </c>
      <c r="W15" s="160" t="s">
        <v>595</v>
      </c>
      <c r="X15" s="158">
        <v>1</v>
      </c>
      <c r="Y15" s="158">
        <v>0</v>
      </c>
      <c r="Z15" s="158">
        <v>0</v>
      </c>
      <c r="AA15" s="158">
        <v>1</v>
      </c>
      <c r="AB15" s="158">
        <v>1</v>
      </c>
      <c r="AC15" s="158">
        <v>0</v>
      </c>
      <c r="AD15" s="158">
        <v>0</v>
      </c>
      <c r="AE15" s="158">
        <v>1</v>
      </c>
      <c r="AF15" s="158">
        <v>0</v>
      </c>
      <c r="AG15" s="158">
        <v>0</v>
      </c>
      <c r="AH15" s="158">
        <v>0</v>
      </c>
      <c r="AI15" s="157">
        <v>0</v>
      </c>
      <c r="AJ15" s="158">
        <v>0</v>
      </c>
      <c r="AK15" s="158">
        <v>0</v>
      </c>
      <c r="AL15" s="158">
        <v>0</v>
      </c>
      <c r="AM15" s="157">
        <v>0</v>
      </c>
    </row>
    <row r="16" spans="1:42" ht="14.95" customHeight="1" thickBot="1" x14ac:dyDescent="0.35">
      <c r="A16" s="178" t="s">
        <v>513</v>
      </c>
      <c r="B16" s="162" t="s">
        <v>73</v>
      </c>
      <c r="C16" s="147" t="s">
        <v>70</v>
      </c>
      <c r="D16" s="148" t="s">
        <v>12</v>
      </c>
      <c r="E16" s="148" t="s">
        <v>8</v>
      </c>
      <c r="F16" s="148">
        <v>40</v>
      </c>
      <c r="G16" s="148">
        <v>19</v>
      </c>
      <c r="H16" s="453">
        <v>1</v>
      </c>
      <c r="I16" s="453">
        <v>0</v>
      </c>
      <c r="J16" s="453">
        <v>6</v>
      </c>
      <c r="K16" s="453">
        <v>5</v>
      </c>
      <c r="L16" s="453">
        <v>0</v>
      </c>
      <c r="M16" s="453">
        <v>0</v>
      </c>
      <c r="N16" s="453">
        <v>1</v>
      </c>
      <c r="O16" s="453">
        <v>0</v>
      </c>
      <c r="P16" s="453">
        <v>0</v>
      </c>
      <c r="Q16" s="453">
        <v>0</v>
      </c>
      <c r="R16" s="453">
        <v>3</v>
      </c>
      <c r="S16" s="176" t="s">
        <v>397</v>
      </c>
      <c r="T16" s="172" t="s">
        <v>468</v>
      </c>
      <c r="U16" s="164" t="s">
        <v>50</v>
      </c>
      <c r="V16" s="164" t="s">
        <v>609</v>
      </c>
      <c r="W16" s="166" t="s">
        <v>384</v>
      </c>
      <c r="X16" s="164">
        <v>1</v>
      </c>
      <c r="Y16" s="164">
        <v>1</v>
      </c>
      <c r="Z16" s="164">
        <v>0</v>
      </c>
      <c r="AA16" s="164">
        <v>0</v>
      </c>
      <c r="AB16" s="164">
        <v>0</v>
      </c>
      <c r="AC16" s="164">
        <v>0</v>
      </c>
      <c r="AD16" s="164">
        <v>0</v>
      </c>
      <c r="AE16" s="164">
        <v>0</v>
      </c>
      <c r="AF16" s="164">
        <v>1</v>
      </c>
      <c r="AG16" s="164">
        <v>1</v>
      </c>
      <c r="AH16" s="164">
        <v>0</v>
      </c>
      <c r="AI16" s="172">
        <v>0</v>
      </c>
      <c r="AJ16" s="164">
        <v>0</v>
      </c>
      <c r="AK16" s="164">
        <v>0</v>
      </c>
      <c r="AL16" s="164">
        <v>0</v>
      </c>
      <c r="AM16" s="172">
        <v>0</v>
      </c>
    </row>
    <row r="17" spans="1:39" ht="14.95" customHeight="1" thickBot="1" x14ac:dyDescent="0.3">
      <c r="A17" s="178" t="s">
        <v>518</v>
      </c>
      <c r="B17" s="162" t="s">
        <v>73</v>
      </c>
      <c r="C17" s="147" t="s">
        <v>4</v>
      </c>
      <c r="D17" s="148" t="s">
        <v>12</v>
      </c>
      <c r="E17" s="148" t="s">
        <v>10</v>
      </c>
      <c r="F17" s="148">
        <v>14</v>
      </c>
      <c r="G17" s="148">
        <v>47</v>
      </c>
      <c r="H17" s="453">
        <v>0</v>
      </c>
      <c r="I17" s="453">
        <v>0</v>
      </c>
      <c r="J17" s="453">
        <v>2</v>
      </c>
      <c r="K17" s="453">
        <v>2</v>
      </c>
      <c r="L17" s="453">
        <v>0</v>
      </c>
      <c r="M17" s="453">
        <v>0</v>
      </c>
      <c r="N17" s="453">
        <v>1</v>
      </c>
      <c r="O17" s="453">
        <v>0</v>
      </c>
      <c r="P17" s="453">
        <v>1</v>
      </c>
      <c r="Q17" s="453">
        <v>0</v>
      </c>
      <c r="R17" s="453">
        <v>7</v>
      </c>
      <c r="S17" s="171" t="s">
        <v>576</v>
      </c>
      <c r="T17" s="172" t="s">
        <v>346</v>
      </c>
      <c r="U17" s="164" t="s">
        <v>50</v>
      </c>
      <c r="V17" s="164" t="s">
        <v>573</v>
      </c>
      <c r="W17" s="166" t="s">
        <v>286</v>
      </c>
      <c r="X17" s="164">
        <v>1</v>
      </c>
      <c r="Y17" s="164">
        <v>0</v>
      </c>
      <c r="Z17" s="164">
        <v>0</v>
      </c>
      <c r="AA17" s="164">
        <v>1</v>
      </c>
      <c r="AB17" s="164">
        <v>0</v>
      </c>
      <c r="AC17" s="164">
        <v>0</v>
      </c>
      <c r="AD17" s="164">
        <v>0</v>
      </c>
      <c r="AE17" s="164">
        <v>0</v>
      </c>
      <c r="AF17" s="164">
        <v>1</v>
      </c>
      <c r="AG17" s="164">
        <v>0</v>
      </c>
      <c r="AH17" s="164">
        <v>0</v>
      </c>
      <c r="AI17" s="172">
        <v>1</v>
      </c>
      <c r="AJ17" s="164">
        <v>0</v>
      </c>
      <c r="AK17" s="164">
        <v>0</v>
      </c>
      <c r="AL17" s="164">
        <v>0</v>
      </c>
      <c r="AM17" s="172">
        <v>0</v>
      </c>
    </row>
    <row r="18" spans="1:39" ht="14.95" customHeight="1" thickBot="1" x14ac:dyDescent="0.35">
      <c r="A18" s="178" t="s">
        <v>127</v>
      </c>
      <c r="B18" s="162" t="s">
        <v>73</v>
      </c>
      <c r="C18" s="147" t="s">
        <v>0</v>
      </c>
      <c r="D18" s="148" t="s">
        <v>12</v>
      </c>
      <c r="E18" s="148" t="s">
        <v>8</v>
      </c>
      <c r="F18" s="148">
        <v>21</v>
      </c>
      <c r="G18" s="148">
        <v>17</v>
      </c>
      <c r="H18" s="453">
        <v>0</v>
      </c>
      <c r="I18" s="453">
        <v>0</v>
      </c>
      <c r="J18" s="453">
        <v>3</v>
      </c>
      <c r="K18" s="453">
        <v>3</v>
      </c>
      <c r="L18" s="453">
        <v>0</v>
      </c>
      <c r="M18" s="453">
        <v>0</v>
      </c>
      <c r="N18" s="453">
        <v>0</v>
      </c>
      <c r="O18" s="453">
        <v>0</v>
      </c>
      <c r="P18" s="453">
        <v>0</v>
      </c>
      <c r="Q18" s="453">
        <v>1</v>
      </c>
      <c r="R18" s="453">
        <v>3</v>
      </c>
      <c r="S18" s="176" t="s">
        <v>659</v>
      </c>
      <c r="T18" s="172" t="s">
        <v>297</v>
      </c>
      <c r="U18" s="164" t="s">
        <v>50</v>
      </c>
      <c r="V18" s="164" t="s">
        <v>338</v>
      </c>
      <c r="W18" s="166" t="s">
        <v>295</v>
      </c>
      <c r="X18" s="164">
        <v>1</v>
      </c>
      <c r="Y18" s="164">
        <v>1</v>
      </c>
      <c r="Z18" s="164">
        <v>0</v>
      </c>
      <c r="AA18" s="164">
        <v>0</v>
      </c>
      <c r="AB18" s="164">
        <v>0</v>
      </c>
      <c r="AC18" s="164">
        <v>0</v>
      </c>
      <c r="AD18" s="164">
        <v>0</v>
      </c>
      <c r="AE18" s="164">
        <v>0</v>
      </c>
      <c r="AF18" s="164">
        <v>1</v>
      </c>
      <c r="AG18" s="164">
        <v>1</v>
      </c>
      <c r="AH18" s="164">
        <v>0</v>
      </c>
      <c r="AI18" s="172">
        <v>0</v>
      </c>
      <c r="AJ18" s="164">
        <v>0</v>
      </c>
      <c r="AK18" s="164">
        <v>0</v>
      </c>
      <c r="AL18" s="164">
        <v>0</v>
      </c>
      <c r="AM18" s="172">
        <v>0</v>
      </c>
    </row>
    <row r="19" spans="1:39" ht="14.95" customHeight="1" thickBot="1" x14ac:dyDescent="0.3">
      <c r="A19" s="177" t="s">
        <v>127</v>
      </c>
      <c r="B19" s="155" t="s">
        <v>73</v>
      </c>
      <c r="C19" s="152" t="s">
        <v>540</v>
      </c>
      <c r="D19" s="153" t="s">
        <v>153</v>
      </c>
      <c r="E19" s="153"/>
      <c r="F19" s="153"/>
      <c r="G19" s="153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175"/>
      <c r="T19" s="157"/>
      <c r="U19" s="158"/>
      <c r="V19" s="158"/>
      <c r="W19" s="160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7"/>
      <c r="AJ19" s="158"/>
      <c r="AK19" s="158"/>
      <c r="AL19" s="158"/>
      <c r="AM19" s="157"/>
    </row>
    <row r="20" spans="1:39" ht="14.95" customHeight="1" thickBot="1" x14ac:dyDescent="0.35">
      <c r="A20" s="177" t="s">
        <v>127</v>
      </c>
      <c r="B20" s="155" t="s">
        <v>73</v>
      </c>
      <c r="C20" s="152" t="s">
        <v>63</v>
      </c>
      <c r="D20" s="153" t="s">
        <v>153</v>
      </c>
      <c r="E20" s="153"/>
      <c r="F20" s="153"/>
      <c r="G20" s="153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156"/>
      <c r="T20" s="157"/>
      <c r="U20" s="158"/>
      <c r="V20" s="158"/>
      <c r="W20" s="160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7"/>
      <c r="AJ20" s="158"/>
      <c r="AK20" s="158"/>
      <c r="AL20" s="158"/>
      <c r="AM20" s="157"/>
    </row>
    <row r="21" spans="1:39" ht="14.95" customHeight="1" thickBot="1" x14ac:dyDescent="0.3">
      <c r="A21" s="178" t="s">
        <v>248</v>
      </c>
      <c r="B21" s="162" t="s">
        <v>73</v>
      </c>
      <c r="C21" s="147" t="s">
        <v>1</v>
      </c>
      <c r="D21" s="148" t="s">
        <v>12</v>
      </c>
      <c r="E21" s="148"/>
      <c r="F21" s="148"/>
      <c r="G21" s="148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171"/>
      <c r="T21" s="172"/>
      <c r="U21" s="164"/>
      <c r="V21" s="164"/>
      <c r="W21" s="166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72"/>
      <c r="AJ21" s="164"/>
      <c r="AK21" s="164"/>
      <c r="AL21" s="164"/>
      <c r="AM21" s="172"/>
    </row>
    <row r="22" spans="1:39" ht="14.95" customHeight="1" thickBot="1" x14ac:dyDescent="0.35">
      <c r="A22" s="502" t="s">
        <v>249</v>
      </c>
      <c r="B22" s="503" t="s">
        <v>128</v>
      </c>
      <c r="C22" s="504"/>
      <c r="D22" s="505"/>
      <c r="E22" s="505"/>
      <c r="F22" s="505"/>
      <c r="G22" s="505"/>
      <c r="H22" s="506"/>
      <c r="I22" s="506"/>
      <c r="J22" s="506"/>
      <c r="K22" s="506"/>
      <c r="L22" s="506"/>
      <c r="M22" s="506"/>
      <c r="N22" s="506"/>
      <c r="O22" s="506"/>
      <c r="P22" s="506"/>
      <c r="Q22" s="506"/>
      <c r="R22" s="506"/>
      <c r="S22" s="507"/>
      <c r="T22" s="508"/>
      <c r="U22" s="509"/>
      <c r="V22" s="509"/>
      <c r="W22" s="510"/>
      <c r="X22" s="509"/>
      <c r="Y22" s="509"/>
      <c r="Z22" s="509"/>
      <c r="AA22" s="509"/>
      <c r="AB22" s="509"/>
      <c r="AC22" s="509"/>
      <c r="AD22" s="509"/>
      <c r="AE22" s="509"/>
      <c r="AF22" s="509"/>
      <c r="AG22" s="509"/>
      <c r="AH22" s="509"/>
      <c r="AI22" s="508"/>
      <c r="AJ22" s="509"/>
      <c r="AK22" s="509"/>
      <c r="AL22" s="509"/>
      <c r="AM22" s="508"/>
    </row>
    <row r="23" spans="1:39" ht="14.95" customHeight="1" thickBot="1" x14ac:dyDescent="0.3">
      <c r="A23" s="502" t="s">
        <v>250</v>
      </c>
      <c r="B23" s="503" t="s">
        <v>247</v>
      </c>
      <c r="C23" s="504"/>
      <c r="D23" s="505"/>
      <c r="E23" s="505"/>
      <c r="F23" s="505"/>
      <c r="G23" s="505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11"/>
      <c r="T23" s="508"/>
      <c r="U23" s="509"/>
      <c r="V23" s="509"/>
      <c r="W23" s="510"/>
      <c r="X23" s="509"/>
      <c r="Y23" s="509"/>
      <c r="Z23" s="509"/>
      <c r="AA23" s="509"/>
      <c r="AB23" s="509"/>
      <c r="AC23" s="509"/>
      <c r="AD23" s="509"/>
      <c r="AE23" s="509"/>
      <c r="AF23" s="509"/>
      <c r="AG23" s="509"/>
      <c r="AH23" s="509"/>
      <c r="AI23" s="508"/>
      <c r="AJ23" s="509"/>
      <c r="AK23" s="509"/>
      <c r="AL23" s="509"/>
      <c r="AM23" s="508"/>
    </row>
    <row r="24" spans="1:39" ht="14.95" customHeight="1" thickBot="1" x14ac:dyDescent="0.3">
      <c r="A24" s="120"/>
      <c r="B24" s="121"/>
      <c r="C24" s="741" t="s">
        <v>74</v>
      </c>
      <c r="D24" s="742"/>
      <c r="E24" s="743"/>
      <c r="F24" s="122">
        <f t="shared" ref="F24:R24" si="0">SUM(F6:F21)</f>
        <v>398</v>
      </c>
      <c r="G24" s="122">
        <f t="shared" si="0"/>
        <v>362</v>
      </c>
      <c r="H24" s="122">
        <f t="shared" si="0"/>
        <v>9</v>
      </c>
      <c r="I24" s="122">
        <f t="shared" si="0"/>
        <v>3</v>
      </c>
      <c r="J24" s="122">
        <f t="shared" si="0"/>
        <v>61</v>
      </c>
      <c r="K24" s="122">
        <f t="shared" si="0"/>
        <v>44</v>
      </c>
      <c r="L24" s="122">
        <f t="shared" si="0"/>
        <v>0</v>
      </c>
      <c r="M24" s="122">
        <f t="shared" si="0"/>
        <v>1</v>
      </c>
      <c r="N24" s="122">
        <f t="shared" si="0"/>
        <v>9</v>
      </c>
      <c r="O24" s="122">
        <f t="shared" si="0"/>
        <v>0</v>
      </c>
      <c r="P24" s="122">
        <f t="shared" si="0"/>
        <v>9</v>
      </c>
      <c r="Q24" s="122">
        <f t="shared" si="0"/>
        <v>1</v>
      </c>
      <c r="R24" s="122">
        <f t="shared" si="0"/>
        <v>59</v>
      </c>
      <c r="S24" s="123"/>
      <c r="T24" s="123"/>
      <c r="U24" s="124"/>
      <c r="V24" s="124"/>
      <c r="W24" s="125" t="s">
        <v>74</v>
      </c>
      <c r="X24" s="122">
        <f t="shared" ref="X24:AM24" si="1">SUM(X6:X21)</f>
        <v>13</v>
      </c>
      <c r="Y24" s="122">
        <f t="shared" si="1"/>
        <v>5</v>
      </c>
      <c r="Z24" s="122">
        <f t="shared" si="1"/>
        <v>2</v>
      </c>
      <c r="AA24" s="122">
        <f t="shared" si="1"/>
        <v>6</v>
      </c>
      <c r="AB24" s="126">
        <f t="shared" si="1"/>
        <v>6</v>
      </c>
      <c r="AC24" s="126">
        <f t="shared" si="1"/>
        <v>2</v>
      </c>
      <c r="AD24" s="126">
        <f t="shared" si="1"/>
        <v>0</v>
      </c>
      <c r="AE24" s="126">
        <f t="shared" si="1"/>
        <v>4</v>
      </c>
      <c r="AF24" s="127">
        <f t="shared" si="1"/>
        <v>7</v>
      </c>
      <c r="AG24" s="127">
        <f t="shared" si="1"/>
        <v>3</v>
      </c>
      <c r="AH24" s="127">
        <f t="shared" si="1"/>
        <v>2</v>
      </c>
      <c r="AI24" s="127">
        <f t="shared" si="1"/>
        <v>2</v>
      </c>
      <c r="AJ24" s="122">
        <f t="shared" si="1"/>
        <v>0</v>
      </c>
      <c r="AK24" s="122">
        <f t="shared" si="1"/>
        <v>0</v>
      </c>
      <c r="AL24" s="122">
        <f t="shared" si="1"/>
        <v>0</v>
      </c>
      <c r="AM24" s="122">
        <f t="shared" si="1"/>
        <v>0</v>
      </c>
    </row>
    <row r="25" spans="1:39" ht="14.95" customHeight="1" thickBot="1" x14ac:dyDescent="0.3">
      <c r="A25" s="128"/>
      <c r="B25" s="128"/>
      <c r="C25" s="741" t="s">
        <v>75</v>
      </c>
      <c r="D25" s="742"/>
      <c r="E25" s="743"/>
      <c r="F25" s="122">
        <f>F22+F23</f>
        <v>0</v>
      </c>
      <c r="G25" s="122">
        <f>G22+G23</f>
        <v>0</v>
      </c>
      <c r="H25" s="129" t="s">
        <v>42</v>
      </c>
      <c r="I25" s="129" t="s">
        <v>42</v>
      </c>
      <c r="J25" s="122">
        <f t="shared" ref="J25:O25" si="2">J22+J23</f>
        <v>0</v>
      </c>
      <c r="K25" s="122">
        <f t="shared" si="2"/>
        <v>0</v>
      </c>
      <c r="L25" s="122">
        <f t="shared" si="2"/>
        <v>0</v>
      </c>
      <c r="M25" s="122">
        <f t="shared" si="2"/>
        <v>0</v>
      </c>
      <c r="N25" s="122">
        <f t="shared" si="2"/>
        <v>0</v>
      </c>
      <c r="O25" s="122">
        <f t="shared" si="2"/>
        <v>0</v>
      </c>
      <c r="P25" s="129" t="s">
        <v>42</v>
      </c>
      <c r="Q25" s="129" t="s">
        <v>42</v>
      </c>
      <c r="R25" s="122">
        <f>R22+R23</f>
        <v>0</v>
      </c>
      <c r="S25" s="123"/>
      <c r="T25" s="123"/>
      <c r="U25" s="123"/>
      <c r="V25" s="124"/>
      <c r="W25" s="125" t="s">
        <v>75</v>
      </c>
      <c r="X25" s="122">
        <f t="shared" ref="X25:AM25" si="3">X22+X23</f>
        <v>0</v>
      </c>
      <c r="Y25" s="122">
        <f t="shared" si="3"/>
        <v>0</v>
      </c>
      <c r="Z25" s="122">
        <f t="shared" si="3"/>
        <v>0</v>
      </c>
      <c r="AA25" s="122">
        <f t="shared" si="3"/>
        <v>0</v>
      </c>
      <c r="AB25" s="126">
        <f t="shared" si="3"/>
        <v>0</v>
      </c>
      <c r="AC25" s="126">
        <f t="shared" si="3"/>
        <v>0</v>
      </c>
      <c r="AD25" s="126">
        <f t="shared" si="3"/>
        <v>0</v>
      </c>
      <c r="AE25" s="126">
        <f t="shared" si="3"/>
        <v>0</v>
      </c>
      <c r="AF25" s="130">
        <f t="shared" si="3"/>
        <v>0</v>
      </c>
      <c r="AG25" s="130">
        <f t="shared" si="3"/>
        <v>0</v>
      </c>
      <c r="AH25" s="130">
        <f t="shared" si="3"/>
        <v>0</v>
      </c>
      <c r="AI25" s="130">
        <f t="shared" si="3"/>
        <v>0</v>
      </c>
      <c r="AJ25" s="122">
        <f t="shared" si="3"/>
        <v>0</v>
      </c>
      <c r="AK25" s="122">
        <f t="shared" si="3"/>
        <v>0</v>
      </c>
      <c r="AL25" s="122">
        <f t="shared" si="3"/>
        <v>0</v>
      </c>
      <c r="AM25" s="122">
        <f t="shared" si="3"/>
        <v>0</v>
      </c>
    </row>
    <row r="26" spans="1:39" ht="14.95" customHeight="1" thickBot="1" x14ac:dyDescent="0.3">
      <c r="A26" s="128"/>
      <c r="B26" s="128"/>
      <c r="C26" s="741" t="s">
        <v>76</v>
      </c>
      <c r="D26" s="742"/>
      <c r="E26" s="743"/>
      <c r="F26" s="122">
        <f>SUM(F24+F25)</f>
        <v>398</v>
      </c>
      <c r="G26" s="122">
        <f t="shared" ref="G26:R26" si="4">SUM(G24+G25)</f>
        <v>362</v>
      </c>
      <c r="H26" s="122">
        <f>H24</f>
        <v>9</v>
      </c>
      <c r="I26" s="122">
        <f>I24</f>
        <v>3</v>
      </c>
      <c r="J26" s="122">
        <f t="shared" si="4"/>
        <v>61</v>
      </c>
      <c r="K26" s="122">
        <f t="shared" si="4"/>
        <v>44</v>
      </c>
      <c r="L26" s="122">
        <f t="shared" si="4"/>
        <v>0</v>
      </c>
      <c r="M26" s="122">
        <f t="shared" si="4"/>
        <v>1</v>
      </c>
      <c r="N26" s="122">
        <f t="shared" si="4"/>
        <v>9</v>
      </c>
      <c r="O26" s="122">
        <f t="shared" si="4"/>
        <v>0</v>
      </c>
      <c r="P26" s="122">
        <f t="shared" ref="P26:Q26" si="5">P24</f>
        <v>9</v>
      </c>
      <c r="Q26" s="122">
        <f t="shared" si="5"/>
        <v>1</v>
      </c>
      <c r="R26" s="122">
        <f t="shared" si="4"/>
        <v>59</v>
      </c>
      <c r="S26" s="123"/>
      <c r="T26" s="123"/>
      <c r="U26" s="123"/>
      <c r="V26" s="124"/>
      <c r="W26" s="125" t="s">
        <v>76</v>
      </c>
      <c r="X26" s="122">
        <f t="shared" ref="X26:AM26" si="6">SUM(X24+X25)</f>
        <v>13</v>
      </c>
      <c r="Y26" s="122">
        <f t="shared" si="6"/>
        <v>5</v>
      </c>
      <c r="Z26" s="122">
        <f t="shared" si="6"/>
        <v>2</v>
      </c>
      <c r="AA26" s="122">
        <f t="shared" si="6"/>
        <v>6</v>
      </c>
      <c r="AB26" s="126">
        <f t="shared" si="6"/>
        <v>6</v>
      </c>
      <c r="AC26" s="126">
        <f t="shared" si="6"/>
        <v>2</v>
      </c>
      <c r="AD26" s="126">
        <f t="shared" si="6"/>
        <v>0</v>
      </c>
      <c r="AE26" s="126">
        <f t="shared" si="6"/>
        <v>4</v>
      </c>
      <c r="AF26" s="127">
        <f t="shared" si="6"/>
        <v>7</v>
      </c>
      <c r="AG26" s="127">
        <f t="shared" si="6"/>
        <v>3</v>
      </c>
      <c r="AH26" s="127">
        <f t="shared" si="6"/>
        <v>2</v>
      </c>
      <c r="AI26" s="127">
        <f t="shared" si="6"/>
        <v>2</v>
      </c>
      <c r="AJ26" s="122">
        <f t="shared" si="6"/>
        <v>0</v>
      </c>
      <c r="AK26" s="122">
        <f t="shared" si="6"/>
        <v>0</v>
      </c>
      <c r="AL26" s="122">
        <f t="shared" si="6"/>
        <v>0</v>
      </c>
      <c r="AM26" s="122">
        <f t="shared" si="6"/>
        <v>0</v>
      </c>
    </row>
    <row r="27" spans="1:39" ht="14.95" customHeight="1" thickBot="1" x14ac:dyDescent="0.3">
      <c r="A27" s="34"/>
      <c r="C27" s="726" t="s">
        <v>441</v>
      </c>
      <c r="D27" s="727"/>
      <c r="E27" s="728"/>
      <c r="F27" s="644">
        <f>SUM(F3:F5)</f>
        <v>87</v>
      </c>
      <c r="G27" s="644">
        <f t="shared" ref="G27:R27" si="7">SUM(G3:G5)</f>
        <v>69</v>
      </c>
      <c r="H27" s="644">
        <f t="shared" si="7"/>
        <v>2</v>
      </c>
      <c r="I27" s="644">
        <f t="shared" si="7"/>
        <v>0</v>
      </c>
      <c r="J27" s="644">
        <f t="shared" si="7"/>
        <v>15</v>
      </c>
      <c r="K27" s="644">
        <f t="shared" si="7"/>
        <v>6</v>
      </c>
      <c r="L27" s="644">
        <f t="shared" si="7"/>
        <v>0</v>
      </c>
      <c r="M27" s="644">
        <f t="shared" si="7"/>
        <v>0</v>
      </c>
      <c r="N27" s="644">
        <f t="shared" si="7"/>
        <v>1</v>
      </c>
      <c r="O27" s="644">
        <f t="shared" si="7"/>
        <v>0</v>
      </c>
      <c r="P27" s="644">
        <f t="shared" si="7"/>
        <v>1</v>
      </c>
      <c r="Q27" s="644">
        <f t="shared" si="7"/>
        <v>0</v>
      </c>
      <c r="R27" s="644">
        <f t="shared" si="7"/>
        <v>11</v>
      </c>
      <c r="S27" s="645"/>
      <c r="T27" s="645"/>
      <c r="U27" s="645"/>
      <c r="V27" s="646"/>
      <c r="W27" s="647" t="s">
        <v>441</v>
      </c>
      <c r="X27" s="644">
        <f t="shared" ref="X27:AM27" si="8">SUM(X3:X5)</f>
        <v>3</v>
      </c>
      <c r="Y27" s="644">
        <f t="shared" si="8"/>
        <v>1</v>
      </c>
      <c r="Z27" s="644">
        <f t="shared" si="8"/>
        <v>0</v>
      </c>
      <c r="AA27" s="644">
        <f t="shared" si="8"/>
        <v>2</v>
      </c>
      <c r="AB27" s="648">
        <f t="shared" si="8"/>
        <v>1</v>
      </c>
      <c r="AC27" s="648">
        <f t="shared" si="8"/>
        <v>1</v>
      </c>
      <c r="AD27" s="648">
        <f t="shared" si="8"/>
        <v>0</v>
      </c>
      <c r="AE27" s="648">
        <f t="shared" si="8"/>
        <v>0</v>
      </c>
      <c r="AF27" s="649">
        <f t="shared" si="8"/>
        <v>2</v>
      </c>
      <c r="AG27" s="649">
        <f t="shared" si="8"/>
        <v>0</v>
      </c>
      <c r="AH27" s="649">
        <f t="shared" si="8"/>
        <v>0</v>
      </c>
      <c r="AI27" s="649">
        <f t="shared" si="8"/>
        <v>2</v>
      </c>
      <c r="AJ27" s="644">
        <f t="shared" si="8"/>
        <v>0</v>
      </c>
      <c r="AK27" s="644">
        <f t="shared" si="8"/>
        <v>0</v>
      </c>
      <c r="AL27" s="644">
        <f t="shared" si="8"/>
        <v>0</v>
      </c>
      <c r="AM27" s="644">
        <f t="shared" si="8"/>
        <v>0</v>
      </c>
    </row>
    <row r="28" spans="1:39" ht="14.95" customHeight="1" thickBot="1" x14ac:dyDescent="0.3">
      <c r="A28" s="501"/>
      <c r="C28" s="726" t="s">
        <v>442</v>
      </c>
      <c r="D28" s="727"/>
      <c r="E28" s="728"/>
      <c r="F28" s="644">
        <v>0</v>
      </c>
      <c r="G28" s="644">
        <v>0</v>
      </c>
      <c r="H28" s="644">
        <v>0</v>
      </c>
      <c r="I28" s="644">
        <v>0</v>
      </c>
      <c r="J28" s="644">
        <v>0</v>
      </c>
      <c r="K28" s="644">
        <v>0</v>
      </c>
      <c r="L28" s="644">
        <v>0</v>
      </c>
      <c r="M28" s="644">
        <v>0</v>
      </c>
      <c r="N28" s="644">
        <v>0</v>
      </c>
      <c r="O28" s="644">
        <v>0</v>
      </c>
      <c r="P28" s="644">
        <v>0</v>
      </c>
      <c r="Q28" s="644">
        <v>0</v>
      </c>
      <c r="R28" s="644">
        <v>0</v>
      </c>
      <c r="S28" s="645"/>
      <c r="T28" s="645"/>
      <c r="U28" s="645"/>
      <c r="V28" s="646"/>
      <c r="W28" s="647" t="s">
        <v>442</v>
      </c>
      <c r="X28" s="644">
        <v>0</v>
      </c>
      <c r="Y28" s="644">
        <v>0</v>
      </c>
      <c r="Z28" s="644">
        <v>0</v>
      </c>
      <c r="AA28" s="644">
        <v>0</v>
      </c>
      <c r="AB28" s="648">
        <v>0</v>
      </c>
      <c r="AC28" s="648">
        <v>0</v>
      </c>
      <c r="AD28" s="648">
        <v>0</v>
      </c>
      <c r="AE28" s="648">
        <v>0</v>
      </c>
      <c r="AF28" s="649">
        <v>0</v>
      </c>
      <c r="AG28" s="649">
        <v>0</v>
      </c>
      <c r="AH28" s="649">
        <v>0</v>
      </c>
      <c r="AI28" s="649">
        <v>0</v>
      </c>
      <c r="AJ28" s="644">
        <v>0</v>
      </c>
      <c r="AK28" s="644">
        <v>0</v>
      </c>
      <c r="AL28" s="644">
        <v>0</v>
      </c>
      <c r="AM28" s="644">
        <v>0</v>
      </c>
    </row>
    <row r="29" spans="1:39" ht="14.95" customHeight="1" thickBot="1" x14ac:dyDescent="0.35">
      <c r="A29" s="475"/>
      <c r="C29" s="726" t="s">
        <v>440</v>
      </c>
      <c r="D29" s="727"/>
      <c r="E29" s="728"/>
      <c r="F29" s="644">
        <f>SUM(F27+F28)</f>
        <v>87</v>
      </c>
      <c r="G29" s="644">
        <f t="shared" ref="G29:R29" si="9">SUM(G27+G28)</f>
        <v>69</v>
      </c>
      <c r="H29" s="644">
        <f t="shared" si="9"/>
        <v>2</v>
      </c>
      <c r="I29" s="644">
        <f t="shared" si="9"/>
        <v>0</v>
      </c>
      <c r="J29" s="644">
        <f t="shared" si="9"/>
        <v>15</v>
      </c>
      <c r="K29" s="644">
        <f t="shared" si="9"/>
        <v>6</v>
      </c>
      <c r="L29" s="644">
        <f t="shared" si="9"/>
        <v>0</v>
      </c>
      <c r="M29" s="644">
        <f t="shared" si="9"/>
        <v>0</v>
      </c>
      <c r="N29" s="644">
        <f t="shared" si="9"/>
        <v>1</v>
      </c>
      <c r="O29" s="644">
        <f t="shared" si="9"/>
        <v>0</v>
      </c>
      <c r="P29" s="644">
        <f t="shared" si="9"/>
        <v>1</v>
      </c>
      <c r="Q29" s="644">
        <f t="shared" si="9"/>
        <v>0</v>
      </c>
      <c r="R29" s="644">
        <f t="shared" si="9"/>
        <v>11</v>
      </c>
      <c r="S29" s="645"/>
      <c r="T29" s="645"/>
      <c r="U29" s="645"/>
      <c r="V29" s="646"/>
      <c r="W29" s="647" t="s">
        <v>440</v>
      </c>
      <c r="X29" s="644">
        <f t="shared" ref="X29:AM29" si="10">SUM(X27+X28)</f>
        <v>3</v>
      </c>
      <c r="Y29" s="644">
        <f t="shared" si="10"/>
        <v>1</v>
      </c>
      <c r="Z29" s="644">
        <f t="shared" si="10"/>
        <v>0</v>
      </c>
      <c r="AA29" s="644">
        <f t="shared" si="10"/>
        <v>2</v>
      </c>
      <c r="AB29" s="648">
        <f t="shared" si="10"/>
        <v>1</v>
      </c>
      <c r="AC29" s="648">
        <f t="shared" si="10"/>
        <v>1</v>
      </c>
      <c r="AD29" s="648">
        <f t="shared" si="10"/>
        <v>0</v>
      </c>
      <c r="AE29" s="648">
        <f t="shared" si="10"/>
        <v>0</v>
      </c>
      <c r="AF29" s="649">
        <f t="shared" si="10"/>
        <v>2</v>
      </c>
      <c r="AG29" s="649">
        <f t="shared" si="10"/>
        <v>0</v>
      </c>
      <c r="AH29" s="649">
        <f t="shared" si="10"/>
        <v>0</v>
      </c>
      <c r="AI29" s="649">
        <f t="shared" si="10"/>
        <v>2</v>
      </c>
      <c r="AJ29" s="644">
        <f t="shared" si="10"/>
        <v>0</v>
      </c>
      <c r="AK29" s="644">
        <f t="shared" si="10"/>
        <v>0</v>
      </c>
      <c r="AL29" s="644">
        <f t="shared" si="10"/>
        <v>0</v>
      </c>
      <c r="AM29" s="644">
        <f t="shared" si="10"/>
        <v>0</v>
      </c>
    </row>
    <row r="30" spans="1:39" ht="14.95" thickBot="1" x14ac:dyDescent="0.3">
      <c r="C30" s="69" t="s">
        <v>29</v>
      </c>
      <c r="D30" s="70"/>
      <c r="E30" s="71"/>
      <c r="F30" s="72">
        <f>SUM(F3:F23)</f>
        <v>485</v>
      </c>
      <c r="G30" s="72">
        <f t="shared" ref="G30:R30" si="11">SUM(G3:G23)</f>
        <v>431</v>
      </c>
      <c r="H30" s="72">
        <f t="shared" si="11"/>
        <v>11</v>
      </c>
      <c r="I30" s="73">
        <f t="shared" si="11"/>
        <v>3</v>
      </c>
      <c r="J30" s="72">
        <f t="shared" si="11"/>
        <v>76</v>
      </c>
      <c r="K30" s="72">
        <f t="shared" si="11"/>
        <v>50</v>
      </c>
      <c r="L30" s="72">
        <f t="shared" si="11"/>
        <v>0</v>
      </c>
      <c r="M30" s="72">
        <f t="shared" si="11"/>
        <v>1</v>
      </c>
      <c r="N30" s="72">
        <f t="shared" si="11"/>
        <v>10</v>
      </c>
      <c r="O30" s="72">
        <f t="shared" si="11"/>
        <v>0</v>
      </c>
      <c r="P30" s="72">
        <f t="shared" si="11"/>
        <v>10</v>
      </c>
      <c r="Q30" s="72">
        <f t="shared" si="11"/>
        <v>1</v>
      </c>
      <c r="R30" s="72">
        <f t="shared" si="11"/>
        <v>70</v>
      </c>
      <c r="S30" s="40"/>
      <c r="T30" s="40"/>
      <c r="U30" s="40"/>
      <c r="V30" s="40"/>
      <c r="W30" s="65" t="s">
        <v>29</v>
      </c>
      <c r="X30" s="72">
        <f t="shared" ref="X30:AM30" si="12">SUM(X3:X23)</f>
        <v>16</v>
      </c>
      <c r="Y30" s="72">
        <f t="shared" si="12"/>
        <v>6</v>
      </c>
      <c r="Z30" s="72">
        <f t="shared" si="12"/>
        <v>2</v>
      </c>
      <c r="AA30" s="73">
        <f t="shared" si="12"/>
        <v>8</v>
      </c>
      <c r="AB30" s="66">
        <f t="shared" si="12"/>
        <v>7</v>
      </c>
      <c r="AC30" s="66">
        <f t="shared" si="12"/>
        <v>3</v>
      </c>
      <c r="AD30" s="66">
        <f t="shared" si="12"/>
        <v>0</v>
      </c>
      <c r="AE30" s="66">
        <f t="shared" si="12"/>
        <v>4</v>
      </c>
      <c r="AF30" s="75">
        <f t="shared" si="12"/>
        <v>9</v>
      </c>
      <c r="AG30" s="75">
        <f t="shared" si="12"/>
        <v>3</v>
      </c>
      <c r="AH30" s="75">
        <f t="shared" si="12"/>
        <v>2</v>
      </c>
      <c r="AI30" s="75">
        <f t="shared" si="12"/>
        <v>4</v>
      </c>
      <c r="AJ30" s="72">
        <f t="shared" si="12"/>
        <v>0</v>
      </c>
      <c r="AK30" s="72">
        <f t="shared" si="12"/>
        <v>0</v>
      </c>
      <c r="AL30" s="72">
        <f t="shared" si="12"/>
        <v>0</v>
      </c>
      <c r="AM30" s="72">
        <f t="shared" si="12"/>
        <v>0</v>
      </c>
    </row>
    <row r="31" spans="1:39" x14ac:dyDescent="0.25">
      <c r="A31" s="671" t="s">
        <v>598</v>
      </c>
    </row>
    <row r="32" spans="1:39" ht="16.3" x14ac:dyDescent="0.3">
      <c r="A32" s="475" t="s">
        <v>47</v>
      </c>
    </row>
  </sheetData>
  <mergeCells count="16">
    <mergeCell ref="AB1:AE1"/>
    <mergeCell ref="AF1:AI1"/>
    <mergeCell ref="AJ1:AM1"/>
    <mergeCell ref="C24:E24"/>
    <mergeCell ref="C25:E25"/>
    <mergeCell ref="A1:D1"/>
    <mergeCell ref="E1:G1"/>
    <mergeCell ref="H1:I1"/>
    <mergeCell ref="J1:M1"/>
    <mergeCell ref="N1:O1"/>
    <mergeCell ref="P1:R1"/>
    <mergeCell ref="C27:E27"/>
    <mergeCell ref="C28:E28"/>
    <mergeCell ref="C29:E29"/>
    <mergeCell ref="C26:E26"/>
    <mergeCell ref="X1:AA1"/>
  </mergeCells>
  <pageMargins left="0.7" right="0.7" top="0.75" bottom="0.75" header="0.3" footer="0.3"/>
  <ignoredErrors>
    <ignoredError sqref="F27:AM29 F24:AM24 S30:W30" formulaRange="1"/>
    <ignoredError sqref="S9:S10 S14 S17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6EEB-A8B4-46CC-A2CB-1B25D8FF397E}">
  <dimension ref="A1:L17"/>
  <sheetViews>
    <sheetView workbookViewId="0">
      <selection activeCell="N26" sqref="N26"/>
    </sheetView>
  </sheetViews>
  <sheetFormatPr defaultRowHeight="14.3" x14ac:dyDescent="0.25"/>
  <sheetData>
    <row r="1" spans="1:12" x14ac:dyDescent="0.25">
      <c r="A1" s="1" t="s">
        <v>73</v>
      </c>
      <c r="B1" s="676" t="s">
        <v>117</v>
      </c>
      <c r="C1" s="677"/>
      <c r="D1" s="677"/>
      <c r="E1" s="677"/>
      <c r="F1" s="677"/>
      <c r="G1" s="1"/>
      <c r="H1" s="676" t="s">
        <v>118</v>
      </c>
      <c r="I1" s="677"/>
      <c r="J1" s="677"/>
      <c r="K1" s="677"/>
      <c r="L1" s="677"/>
    </row>
    <row r="2" spans="1:12" x14ac:dyDescent="0.25">
      <c r="A2" s="1"/>
      <c r="B2" s="308" t="s">
        <v>7</v>
      </c>
      <c r="C2" s="308" t="s">
        <v>8</v>
      </c>
      <c r="D2" s="308" t="s">
        <v>9</v>
      </c>
      <c r="E2" s="308" t="s">
        <v>10</v>
      </c>
      <c r="F2" s="308" t="s">
        <v>209</v>
      </c>
      <c r="G2" s="317"/>
      <c r="H2" s="308" t="s">
        <v>7</v>
      </c>
      <c r="I2" s="308" t="s">
        <v>8</v>
      </c>
      <c r="J2" s="308" t="s">
        <v>9</v>
      </c>
      <c r="K2" s="308" t="s">
        <v>10</v>
      </c>
      <c r="L2" s="308" t="s">
        <v>209</v>
      </c>
    </row>
    <row r="3" spans="1:12" x14ac:dyDescent="0.25">
      <c r="A3" s="1" t="s">
        <v>119</v>
      </c>
      <c r="B3">
        <v>94</v>
      </c>
      <c r="C3">
        <v>49</v>
      </c>
      <c r="D3">
        <v>3</v>
      </c>
      <c r="E3">
        <v>42</v>
      </c>
      <c r="F3" s="216">
        <f t="shared" ref="F3:F8" si="0">SUM(C3+D3*0.5)/B3*100</f>
        <v>53.723404255319153</v>
      </c>
      <c r="G3" s="35"/>
      <c r="H3">
        <v>94</v>
      </c>
      <c r="I3">
        <v>42</v>
      </c>
      <c r="J3">
        <v>3</v>
      </c>
      <c r="K3">
        <v>49</v>
      </c>
      <c r="L3" s="216">
        <f t="shared" ref="L3" si="1">SUM(I3+J3*0.5)/H3*100</f>
        <v>46.276595744680847</v>
      </c>
    </row>
    <row r="4" spans="1:12" x14ac:dyDescent="0.25">
      <c r="A4" s="1" t="s">
        <v>120</v>
      </c>
      <c r="B4">
        <v>92</v>
      </c>
      <c r="C4">
        <v>52</v>
      </c>
      <c r="D4">
        <v>2</v>
      </c>
      <c r="E4">
        <v>38</v>
      </c>
      <c r="F4" s="216">
        <f t="shared" si="0"/>
        <v>57.608695652173914</v>
      </c>
      <c r="G4" s="35"/>
      <c r="H4">
        <v>92</v>
      </c>
      <c r="I4">
        <v>38</v>
      </c>
      <c r="J4">
        <v>2</v>
      </c>
      <c r="K4">
        <v>52</v>
      </c>
      <c r="L4" s="216">
        <f t="shared" ref="L4:L5" si="2">SUM(I4+J4*0.5)/H4*100</f>
        <v>42.391304347826086</v>
      </c>
    </row>
    <row r="5" spans="1:12" x14ac:dyDescent="0.25">
      <c r="A5" s="1" t="s">
        <v>121</v>
      </c>
      <c r="B5" s="185">
        <v>60</v>
      </c>
      <c r="C5" s="185">
        <v>33</v>
      </c>
      <c r="D5" s="185">
        <v>0</v>
      </c>
      <c r="E5" s="185">
        <v>27</v>
      </c>
      <c r="F5" s="185">
        <f t="shared" si="0"/>
        <v>55.000000000000007</v>
      </c>
      <c r="G5" s="355"/>
      <c r="H5" s="185">
        <v>60</v>
      </c>
      <c r="I5" s="185">
        <v>27</v>
      </c>
      <c r="J5" s="185">
        <v>0</v>
      </c>
      <c r="K5" s="185">
        <v>33</v>
      </c>
      <c r="L5" s="185">
        <f t="shared" si="2"/>
        <v>45</v>
      </c>
    </row>
    <row r="6" spans="1:12" x14ac:dyDescent="0.25">
      <c r="A6" s="1" t="s">
        <v>122</v>
      </c>
      <c r="B6">
        <v>91</v>
      </c>
      <c r="C6">
        <v>47</v>
      </c>
      <c r="D6">
        <v>1</v>
      </c>
      <c r="E6">
        <v>43</v>
      </c>
      <c r="F6" s="216">
        <f t="shared" si="0"/>
        <v>52.197802197802204</v>
      </c>
      <c r="G6" s="35"/>
      <c r="H6">
        <v>91</v>
      </c>
      <c r="I6">
        <v>43</v>
      </c>
      <c r="J6">
        <v>1</v>
      </c>
      <c r="K6">
        <v>47</v>
      </c>
      <c r="L6" s="216">
        <f t="shared" ref="L6:L8" si="3">SUM(I6+J6*0.5)/H6*100</f>
        <v>47.802197802197803</v>
      </c>
    </row>
    <row r="7" spans="1:12" x14ac:dyDescent="0.25">
      <c r="A7" s="1" t="s">
        <v>123</v>
      </c>
      <c r="B7">
        <v>91</v>
      </c>
      <c r="C7">
        <v>47</v>
      </c>
      <c r="D7">
        <v>3</v>
      </c>
      <c r="E7">
        <v>41</v>
      </c>
      <c r="F7" s="216">
        <f t="shared" si="0"/>
        <v>53.296703296703299</v>
      </c>
      <c r="G7" s="35"/>
      <c r="H7">
        <v>91</v>
      </c>
      <c r="I7">
        <v>41</v>
      </c>
      <c r="J7">
        <v>3</v>
      </c>
      <c r="K7">
        <v>47</v>
      </c>
      <c r="L7" s="216">
        <f t="shared" si="3"/>
        <v>46.703296703296701</v>
      </c>
    </row>
    <row r="8" spans="1:12" x14ac:dyDescent="0.25">
      <c r="A8" s="1" t="s">
        <v>124</v>
      </c>
      <c r="B8">
        <v>91</v>
      </c>
      <c r="C8">
        <v>49</v>
      </c>
      <c r="D8">
        <v>1</v>
      </c>
      <c r="E8">
        <v>41</v>
      </c>
      <c r="F8" s="216">
        <f t="shared" si="0"/>
        <v>54.395604395604394</v>
      </c>
      <c r="G8" s="35"/>
      <c r="H8">
        <v>91</v>
      </c>
      <c r="I8">
        <v>41</v>
      </c>
      <c r="J8">
        <v>1</v>
      </c>
      <c r="K8">
        <v>49</v>
      </c>
      <c r="L8" s="216">
        <f t="shared" si="3"/>
        <v>45.604395604395606</v>
      </c>
    </row>
    <row r="9" spans="1:12" x14ac:dyDescent="0.25">
      <c r="A9" s="1" t="s">
        <v>98</v>
      </c>
      <c r="B9">
        <v>74</v>
      </c>
      <c r="C9">
        <v>38</v>
      </c>
      <c r="D9">
        <v>1</v>
      </c>
      <c r="E9">
        <v>35</v>
      </c>
      <c r="F9" s="216">
        <f t="shared" ref="F9:F12" si="4">SUM(C9+D9*0.5)/B9*100</f>
        <v>52.027027027027032</v>
      </c>
      <c r="G9" s="35"/>
      <c r="H9">
        <v>74</v>
      </c>
      <c r="I9">
        <v>35</v>
      </c>
      <c r="J9">
        <v>1</v>
      </c>
      <c r="K9">
        <v>38</v>
      </c>
      <c r="L9" s="216">
        <f t="shared" ref="L9:L12" si="5">SUM(I9+J9*0.5)/H9*100</f>
        <v>47.972972972972968</v>
      </c>
    </row>
    <row r="10" spans="1:12" x14ac:dyDescent="0.25">
      <c r="A10" s="1" t="s">
        <v>211</v>
      </c>
      <c r="B10">
        <v>75</v>
      </c>
      <c r="C10">
        <v>34</v>
      </c>
      <c r="D10">
        <v>0</v>
      </c>
      <c r="E10">
        <v>41</v>
      </c>
      <c r="F10" s="216">
        <f t="shared" si="4"/>
        <v>45.333333333333329</v>
      </c>
      <c r="G10" s="35"/>
      <c r="H10">
        <v>75</v>
      </c>
      <c r="I10">
        <v>41</v>
      </c>
      <c r="J10">
        <v>0</v>
      </c>
      <c r="K10">
        <v>34</v>
      </c>
      <c r="L10" s="216">
        <f t="shared" si="5"/>
        <v>54.666666666666664</v>
      </c>
    </row>
    <row r="11" spans="1:12" x14ac:dyDescent="0.25">
      <c r="A11" s="1" t="s">
        <v>211</v>
      </c>
      <c r="B11">
        <v>52</v>
      </c>
      <c r="C11">
        <v>27</v>
      </c>
      <c r="D11">
        <v>5</v>
      </c>
      <c r="E11">
        <v>20</v>
      </c>
      <c r="F11" s="216">
        <f t="shared" si="4"/>
        <v>56.730769230769226</v>
      </c>
      <c r="G11" s="35"/>
      <c r="H11">
        <v>52</v>
      </c>
      <c r="I11">
        <v>20</v>
      </c>
      <c r="J11">
        <v>5</v>
      </c>
      <c r="K11">
        <v>27</v>
      </c>
      <c r="L11" s="216">
        <f t="shared" si="5"/>
        <v>43.269230769230774</v>
      </c>
    </row>
    <row r="12" spans="1:12" x14ac:dyDescent="0.25">
      <c r="A12" s="1" t="s">
        <v>87</v>
      </c>
      <c r="B12" s="1">
        <f>SUM(B3:B11)</f>
        <v>720</v>
      </c>
      <c r="C12" s="1">
        <f t="shared" ref="C12:E12" si="6">SUM(C3:C11)</f>
        <v>376</v>
      </c>
      <c r="D12" s="1">
        <f t="shared" si="6"/>
        <v>16</v>
      </c>
      <c r="E12" s="1">
        <f t="shared" si="6"/>
        <v>328</v>
      </c>
      <c r="F12" s="425">
        <f t="shared" si="4"/>
        <v>53.333333333333336</v>
      </c>
      <c r="G12" s="426"/>
      <c r="H12" s="1">
        <f>SUM(H3:H11)</f>
        <v>720</v>
      </c>
      <c r="I12" s="1">
        <f t="shared" ref="I12:K12" si="7">SUM(I3:I11)</f>
        <v>328</v>
      </c>
      <c r="J12" s="1">
        <f t="shared" si="7"/>
        <v>16</v>
      </c>
      <c r="K12" s="1">
        <f t="shared" si="7"/>
        <v>376</v>
      </c>
      <c r="L12" s="425">
        <f t="shared" si="5"/>
        <v>46.666666666666664</v>
      </c>
    </row>
    <row r="13" spans="1:12" x14ac:dyDescent="0.25">
      <c r="A13" s="332" t="s">
        <v>663</v>
      </c>
    </row>
    <row r="14" spans="1:12" x14ac:dyDescent="0.25">
      <c r="A14" s="316" t="s">
        <v>230</v>
      </c>
    </row>
    <row r="15" spans="1:12" x14ac:dyDescent="0.25">
      <c r="A15" s="316" t="s">
        <v>188</v>
      </c>
      <c r="H15" s="318"/>
    </row>
    <row r="16" spans="1:12" x14ac:dyDescent="0.25">
      <c r="A16" s="316" t="s">
        <v>191</v>
      </c>
      <c r="H16" s="318"/>
    </row>
    <row r="17" spans="1:1" ht="16.3" x14ac:dyDescent="0.3">
      <c r="A17" s="475" t="s">
        <v>47</v>
      </c>
    </row>
  </sheetData>
  <mergeCells count="2">
    <mergeCell ref="H1:L1"/>
    <mergeCell ref="B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5B-9615-47B0-8988-8791C6D32E46}">
  <dimension ref="A1:L30"/>
  <sheetViews>
    <sheetView workbookViewId="0">
      <selection activeCell="G20" sqref="G20"/>
    </sheetView>
  </sheetViews>
  <sheetFormatPr defaultRowHeight="14.3" x14ac:dyDescent="0.25"/>
  <sheetData>
    <row r="1" spans="1:12" x14ac:dyDescent="0.25">
      <c r="A1" s="680" t="s">
        <v>130</v>
      </c>
      <c r="B1" s="678" t="s">
        <v>131</v>
      </c>
      <c r="C1" s="678" t="s">
        <v>132</v>
      </c>
      <c r="D1" s="678" t="s">
        <v>133</v>
      </c>
      <c r="E1" s="678" t="s">
        <v>134</v>
      </c>
      <c r="F1" s="678" t="s">
        <v>135</v>
      </c>
      <c r="G1" s="371" t="s">
        <v>136</v>
      </c>
      <c r="H1" s="371" t="s">
        <v>137</v>
      </c>
      <c r="I1" s="678" t="s">
        <v>138</v>
      </c>
      <c r="J1" s="372" t="s">
        <v>139</v>
      </c>
      <c r="K1" s="678" t="s">
        <v>140</v>
      </c>
      <c r="L1" s="372" t="s">
        <v>139</v>
      </c>
    </row>
    <row r="2" spans="1:12" ht="14.95" thickBot="1" x14ac:dyDescent="0.3">
      <c r="A2" s="681"/>
      <c r="B2" s="679"/>
      <c r="C2" s="679"/>
      <c r="D2" s="679"/>
      <c r="E2" s="679"/>
      <c r="F2" s="679"/>
      <c r="G2" s="374" t="s">
        <v>141</v>
      </c>
      <c r="H2" s="374" t="s">
        <v>141</v>
      </c>
      <c r="I2" s="679"/>
      <c r="J2" s="375" t="s">
        <v>135</v>
      </c>
      <c r="K2" s="679"/>
      <c r="L2" s="375" t="s">
        <v>114</v>
      </c>
    </row>
    <row r="3" spans="1:12" ht="14.95" thickBot="1" x14ac:dyDescent="0.3">
      <c r="A3" s="373">
        <v>1</v>
      </c>
      <c r="B3" s="650">
        <v>3</v>
      </c>
      <c r="C3" s="650">
        <v>1</v>
      </c>
      <c r="D3" s="638">
        <v>0</v>
      </c>
      <c r="E3" s="376">
        <v>39</v>
      </c>
      <c r="F3" s="376">
        <v>247</v>
      </c>
      <c r="G3" s="637">
        <v>1</v>
      </c>
      <c r="H3" s="378">
        <v>4</v>
      </c>
      <c r="I3" s="379">
        <v>39</v>
      </c>
      <c r="J3" s="379">
        <v>247</v>
      </c>
      <c r="K3" s="379">
        <v>1</v>
      </c>
      <c r="L3" s="379">
        <v>4</v>
      </c>
    </row>
    <row r="4" spans="1:12" ht="14.95" thickBot="1" x14ac:dyDescent="0.3">
      <c r="A4" s="373">
        <v>2</v>
      </c>
      <c r="B4" s="376">
        <v>2</v>
      </c>
      <c r="C4" s="376">
        <v>2</v>
      </c>
      <c r="D4" s="638">
        <v>0</v>
      </c>
      <c r="E4" s="650">
        <v>38</v>
      </c>
      <c r="F4" s="650">
        <v>240</v>
      </c>
      <c r="G4" s="639">
        <v>0</v>
      </c>
      <c r="H4" s="639">
        <v>1</v>
      </c>
      <c r="I4" s="379">
        <v>77</v>
      </c>
      <c r="J4" s="379">
        <v>487</v>
      </c>
      <c r="K4" s="379">
        <v>1</v>
      </c>
      <c r="L4" s="379">
        <v>5</v>
      </c>
    </row>
    <row r="5" spans="1:12" ht="14.95" thickBot="1" x14ac:dyDescent="0.3">
      <c r="A5" s="380">
        <v>3</v>
      </c>
      <c r="B5" s="638">
        <v>0</v>
      </c>
      <c r="C5" s="636">
        <v>3</v>
      </c>
      <c r="D5" s="650">
        <v>1</v>
      </c>
      <c r="E5" s="650">
        <v>40</v>
      </c>
      <c r="F5" s="376">
        <v>256</v>
      </c>
      <c r="G5" s="639">
        <v>0</v>
      </c>
      <c r="H5" s="381">
        <v>6</v>
      </c>
      <c r="I5" s="379">
        <v>117</v>
      </c>
      <c r="J5" s="379">
        <v>743</v>
      </c>
      <c r="K5" s="379">
        <v>1</v>
      </c>
      <c r="L5" s="379">
        <v>11</v>
      </c>
    </row>
    <row r="6" spans="1:12" ht="14.95" thickBot="1" x14ac:dyDescent="0.3">
      <c r="A6" s="373">
        <v>4</v>
      </c>
      <c r="B6" s="636">
        <v>4</v>
      </c>
      <c r="C6" s="638">
        <v>0</v>
      </c>
      <c r="D6" s="638">
        <v>0</v>
      </c>
      <c r="E6" s="636">
        <v>41</v>
      </c>
      <c r="F6" s="636">
        <v>257</v>
      </c>
      <c r="G6" s="639">
        <v>0</v>
      </c>
      <c r="H6" s="378">
        <v>5</v>
      </c>
      <c r="I6" s="379">
        <v>158</v>
      </c>
      <c r="J6" s="379">
        <v>1000</v>
      </c>
      <c r="K6" s="379">
        <v>1</v>
      </c>
      <c r="L6" s="379">
        <v>16</v>
      </c>
    </row>
    <row r="7" spans="1:12" ht="14.95" thickBot="1" x14ac:dyDescent="0.3">
      <c r="A7" s="373">
        <v>5</v>
      </c>
      <c r="B7" s="376">
        <v>1</v>
      </c>
      <c r="C7" s="376">
        <v>2</v>
      </c>
      <c r="D7" s="376">
        <v>1</v>
      </c>
      <c r="E7" s="376">
        <v>39</v>
      </c>
      <c r="F7" s="376">
        <v>247</v>
      </c>
      <c r="G7" s="639">
        <v>0</v>
      </c>
      <c r="H7" s="639">
        <v>1</v>
      </c>
      <c r="I7" s="379">
        <v>197</v>
      </c>
      <c r="J7" s="379">
        <v>1247</v>
      </c>
      <c r="K7" s="379">
        <v>1</v>
      </c>
      <c r="L7" s="379">
        <v>17</v>
      </c>
    </row>
    <row r="8" spans="1:12" ht="14.95" thickBot="1" x14ac:dyDescent="0.3">
      <c r="A8" s="380">
        <v>6</v>
      </c>
      <c r="B8" s="376">
        <v>3</v>
      </c>
      <c r="C8" s="376">
        <v>1</v>
      </c>
      <c r="D8" s="638">
        <v>0</v>
      </c>
      <c r="E8" s="376">
        <v>38</v>
      </c>
      <c r="F8" s="376">
        <v>240</v>
      </c>
      <c r="G8" s="639">
        <v>0</v>
      </c>
      <c r="H8" s="378">
        <v>4</v>
      </c>
      <c r="I8" s="379">
        <v>235</v>
      </c>
      <c r="J8" s="379">
        <v>1487</v>
      </c>
      <c r="K8" s="379">
        <v>1</v>
      </c>
      <c r="L8" s="379">
        <v>21</v>
      </c>
    </row>
    <row r="9" spans="1:12" ht="14.95" thickBot="1" x14ac:dyDescent="0.3">
      <c r="A9" s="373">
        <v>7</v>
      </c>
      <c r="B9" s="376">
        <v>2</v>
      </c>
      <c r="C9" s="376">
        <v>2</v>
      </c>
      <c r="D9" s="638">
        <v>0</v>
      </c>
      <c r="E9" s="650">
        <v>30</v>
      </c>
      <c r="F9" s="650">
        <v>194</v>
      </c>
      <c r="G9" s="639">
        <v>0</v>
      </c>
      <c r="H9" s="378">
        <v>3</v>
      </c>
      <c r="I9" s="379">
        <v>265</v>
      </c>
      <c r="J9" s="379">
        <v>1681</v>
      </c>
      <c r="K9" s="379">
        <v>1</v>
      </c>
      <c r="L9" s="379">
        <v>24</v>
      </c>
    </row>
    <row r="10" spans="1:12" ht="14.95" thickBot="1" x14ac:dyDescent="0.3">
      <c r="A10" s="373">
        <v>8</v>
      </c>
      <c r="B10" s="376">
        <v>1</v>
      </c>
      <c r="C10" s="376">
        <v>2</v>
      </c>
      <c r="D10" s="650">
        <v>1</v>
      </c>
      <c r="E10" s="376">
        <v>38</v>
      </c>
      <c r="F10" s="376">
        <v>248</v>
      </c>
      <c r="G10" s="639">
        <v>0</v>
      </c>
      <c r="H10" s="381">
        <v>6</v>
      </c>
      <c r="I10" s="379">
        <v>303</v>
      </c>
      <c r="J10" s="379">
        <v>1929</v>
      </c>
      <c r="K10" s="379">
        <v>1</v>
      </c>
      <c r="L10" s="379">
        <v>30</v>
      </c>
    </row>
    <row r="11" spans="1:12" ht="14.95" thickBot="1" x14ac:dyDescent="0.3">
      <c r="A11" s="380">
        <v>9</v>
      </c>
      <c r="B11" s="376">
        <v>3</v>
      </c>
      <c r="C11" s="376">
        <v>1</v>
      </c>
      <c r="D11" s="638">
        <v>0</v>
      </c>
      <c r="E11" s="376">
        <v>36</v>
      </c>
      <c r="F11" s="376">
        <v>219</v>
      </c>
      <c r="G11" s="639">
        <v>0</v>
      </c>
      <c r="H11" s="637">
        <v>7</v>
      </c>
      <c r="I11" s="379">
        <v>339</v>
      </c>
      <c r="J11" s="379">
        <v>2148</v>
      </c>
      <c r="K11" s="379">
        <v>1</v>
      </c>
      <c r="L11" s="379">
        <v>37</v>
      </c>
    </row>
    <row r="12" spans="1:12" ht="14.95" thickBot="1" x14ac:dyDescent="0.3">
      <c r="A12" s="373">
        <v>10</v>
      </c>
      <c r="B12" s="376">
        <v>0</v>
      </c>
      <c r="C12" s="376">
        <v>2</v>
      </c>
      <c r="D12" s="636">
        <v>2</v>
      </c>
      <c r="E12" s="376">
        <v>37</v>
      </c>
      <c r="F12" s="376">
        <v>238</v>
      </c>
      <c r="G12" s="639">
        <v>0</v>
      </c>
      <c r="H12" s="378">
        <v>3</v>
      </c>
      <c r="I12" s="379">
        <v>376</v>
      </c>
      <c r="J12" s="379">
        <v>2386</v>
      </c>
      <c r="K12" s="379">
        <v>1</v>
      </c>
      <c r="L12" s="379">
        <v>40</v>
      </c>
    </row>
    <row r="13" spans="1:12" ht="14.95" thickBot="1" x14ac:dyDescent="0.3">
      <c r="A13" s="380">
        <v>11</v>
      </c>
      <c r="B13" s="376">
        <v>3</v>
      </c>
      <c r="C13" s="376">
        <v>1</v>
      </c>
      <c r="D13" s="638">
        <v>0</v>
      </c>
      <c r="E13" s="376">
        <v>36</v>
      </c>
      <c r="F13" s="376">
        <v>234</v>
      </c>
      <c r="G13" s="639">
        <v>0</v>
      </c>
      <c r="H13" s="378">
        <v>4</v>
      </c>
      <c r="I13" s="378">
        <v>412</v>
      </c>
      <c r="J13" s="378">
        <v>2620</v>
      </c>
      <c r="K13" s="378">
        <v>1</v>
      </c>
      <c r="L13" s="378">
        <v>44</v>
      </c>
    </row>
    <row r="14" spans="1:12" ht="14.95" thickBot="1" x14ac:dyDescent="0.3">
      <c r="A14" s="373">
        <v>12</v>
      </c>
      <c r="B14" s="376">
        <v>2</v>
      </c>
      <c r="C14" s="376">
        <v>2</v>
      </c>
      <c r="D14" s="638">
        <v>0</v>
      </c>
      <c r="E14" s="638">
        <v>28</v>
      </c>
      <c r="F14" s="638">
        <v>183</v>
      </c>
      <c r="G14" s="639">
        <v>0</v>
      </c>
      <c r="H14" s="378">
        <v>4</v>
      </c>
      <c r="I14" s="379">
        <v>440</v>
      </c>
      <c r="J14" s="379">
        <v>2803</v>
      </c>
      <c r="K14" s="379">
        <v>1</v>
      </c>
      <c r="L14" s="379">
        <v>48</v>
      </c>
    </row>
    <row r="15" spans="1:12" ht="14.95" thickBot="1" x14ac:dyDescent="0.3">
      <c r="A15" s="380">
        <v>13</v>
      </c>
      <c r="B15" s="376">
        <v>3</v>
      </c>
      <c r="C15" s="376">
        <v>1</v>
      </c>
      <c r="D15" s="638">
        <v>0</v>
      </c>
      <c r="E15" s="650">
        <v>39</v>
      </c>
      <c r="F15" s="376">
        <v>255</v>
      </c>
      <c r="G15" s="639">
        <v>0</v>
      </c>
      <c r="H15" s="378">
        <v>4</v>
      </c>
      <c r="I15" s="379">
        <v>479</v>
      </c>
      <c r="J15" s="379">
        <v>3058</v>
      </c>
      <c r="K15" s="379">
        <v>1</v>
      </c>
      <c r="L15" s="379">
        <v>52</v>
      </c>
    </row>
    <row r="16" spans="1:12" ht="14.95" thickBot="1" x14ac:dyDescent="0.3">
      <c r="A16" s="373">
        <v>14</v>
      </c>
      <c r="B16" s="376">
        <v>2</v>
      </c>
      <c r="C16" s="376">
        <v>2</v>
      </c>
      <c r="D16" s="638">
        <v>0</v>
      </c>
      <c r="E16" s="376">
        <v>37</v>
      </c>
      <c r="F16" s="376">
        <v>241</v>
      </c>
      <c r="G16" s="639">
        <v>0</v>
      </c>
      <c r="H16" s="378">
        <v>6</v>
      </c>
      <c r="I16" s="379">
        <v>516</v>
      </c>
      <c r="J16" s="379">
        <v>3299</v>
      </c>
      <c r="K16" s="379">
        <v>1</v>
      </c>
      <c r="L16" s="379">
        <v>58</v>
      </c>
    </row>
    <row r="17" spans="1:12" ht="14.95" thickBot="1" x14ac:dyDescent="0.3">
      <c r="A17" s="373">
        <v>15</v>
      </c>
      <c r="B17" s="376">
        <v>1</v>
      </c>
      <c r="C17" s="636">
        <v>3</v>
      </c>
      <c r="D17" s="638">
        <v>0</v>
      </c>
      <c r="E17" s="376">
        <v>30</v>
      </c>
      <c r="F17" s="376">
        <v>194</v>
      </c>
      <c r="G17" s="639">
        <v>0</v>
      </c>
      <c r="H17" s="378">
        <v>3</v>
      </c>
      <c r="I17" s="379">
        <v>546</v>
      </c>
      <c r="J17" s="379">
        <v>3493</v>
      </c>
      <c r="K17" s="379">
        <v>1</v>
      </c>
      <c r="L17" s="379">
        <v>61</v>
      </c>
    </row>
    <row r="18" spans="1:12" ht="14.95" thickBot="1" x14ac:dyDescent="0.3">
      <c r="A18" s="373">
        <v>16</v>
      </c>
      <c r="B18" s="377"/>
      <c r="C18" s="434"/>
      <c r="D18" s="376"/>
      <c r="E18" s="376"/>
      <c r="F18" s="650"/>
      <c r="G18" s="381"/>
      <c r="H18" s="381"/>
      <c r="I18" s="379"/>
      <c r="J18" s="379"/>
      <c r="K18" s="379"/>
      <c r="L18" s="379"/>
    </row>
    <row r="19" spans="1:12" ht="14.95" thickBot="1" x14ac:dyDescent="0.3">
      <c r="A19" s="373">
        <v>17</v>
      </c>
      <c r="B19" s="376"/>
      <c r="C19" s="376"/>
      <c r="D19" s="376"/>
      <c r="E19" s="376"/>
      <c r="F19" s="376"/>
      <c r="G19" s="378"/>
      <c r="H19" s="378"/>
      <c r="I19" s="379"/>
      <c r="J19" s="379"/>
      <c r="K19" s="379"/>
      <c r="L19" s="379"/>
    </row>
    <row r="20" spans="1:12" ht="14.95" thickBot="1" x14ac:dyDescent="0.3">
      <c r="A20" s="373">
        <v>18</v>
      </c>
      <c r="B20" s="376"/>
      <c r="C20" s="376"/>
      <c r="D20" s="376"/>
      <c r="E20" s="376"/>
      <c r="F20" s="376"/>
      <c r="G20" s="378"/>
      <c r="H20" s="378"/>
      <c r="I20" s="379"/>
      <c r="J20" s="379"/>
      <c r="K20" s="379"/>
      <c r="L20" s="379"/>
    </row>
    <row r="21" spans="1:12" ht="14.95" thickBot="1" x14ac:dyDescent="0.3">
      <c r="A21" s="476" t="s">
        <v>142</v>
      </c>
      <c r="B21" s="382"/>
      <c r="C21" s="383"/>
      <c r="D21" s="382" t="s">
        <v>50</v>
      </c>
      <c r="E21" s="383"/>
      <c r="F21" s="382"/>
      <c r="G21" s="384"/>
      <c r="H21" s="663"/>
      <c r="I21" s="384"/>
      <c r="J21" s="384"/>
      <c r="K21" s="384"/>
      <c r="L21" s="384"/>
    </row>
    <row r="22" spans="1:12" ht="14.95" thickBot="1" x14ac:dyDescent="0.3">
      <c r="A22" s="476" t="s">
        <v>129</v>
      </c>
      <c r="B22" s="382"/>
      <c r="C22" s="382"/>
      <c r="D22" s="382" t="s">
        <v>50</v>
      </c>
      <c r="E22" s="383"/>
      <c r="F22" s="382"/>
      <c r="G22" s="384"/>
      <c r="H22" s="663"/>
      <c r="I22" s="384"/>
      <c r="J22" s="384"/>
      <c r="K22" s="384"/>
      <c r="L22" s="384"/>
    </row>
    <row r="23" spans="1:12" x14ac:dyDescent="0.25">
      <c r="B23" s="217">
        <f t="shared" ref="B23:H23" si="0">SUM(B3:B22)</f>
        <v>30</v>
      </c>
      <c r="C23" s="217">
        <f t="shared" si="0"/>
        <v>25</v>
      </c>
      <c r="D23" s="217">
        <f t="shared" si="0"/>
        <v>5</v>
      </c>
      <c r="E23" s="217">
        <f t="shared" si="0"/>
        <v>546</v>
      </c>
      <c r="F23" s="217">
        <f t="shared" si="0"/>
        <v>3493</v>
      </c>
      <c r="G23" s="217">
        <f t="shared" si="0"/>
        <v>1</v>
      </c>
      <c r="H23" s="217">
        <f t="shared" si="0"/>
        <v>61</v>
      </c>
      <c r="I23" s="217">
        <f>pwrseasontries</f>
        <v>546</v>
      </c>
      <c r="J23" s="217">
        <f>pwrseasonpts</f>
        <v>3493</v>
      </c>
      <c r="K23" s="217">
        <f>pwrseasonrc</f>
        <v>1</v>
      </c>
      <c r="L23" s="217">
        <f>pwrseasonyc</f>
        <v>61</v>
      </c>
    </row>
    <row r="24" spans="1:12" x14ac:dyDescent="0.25">
      <c r="A24" s="194"/>
    </row>
    <row r="25" spans="1:12" x14ac:dyDescent="0.25">
      <c r="A25" t="s">
        <v>640</v>
      </c>
    </row>
    <row r="26" spans="1:12" x14ac:dyDescent="0.25">
      <c r="A26" t="s">
        <v>212</v>
      </c>
    </row>
    <row r="27" spans="1:12" x14ac:dyDescent="0.25">
      <c r="A27" t="s">
        <v>490</v>
      </c>
    </row>
    <row r="28" spans="1:12" x14ac:dyDescent="0.25">
      <c r="A28" t="s">
        <v>641</v>
      </c>
    </row>
    <row r="29" spans="1:12" x14ac:dyDescent="0.25">
      <c r="A29" t="s">
        <v>213</v>
      </c>
    </row>
    <row r="30" spans="1:12" ht="16.3" x14ac:dyDescent="0.3">
      <c r="A30" s="475" t="s">
        <v>47</v>
      </c>
    </row>
  </sheetData>
  <mergeCells count="8">
    <mergeCell ref="I1:I2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7990-393D-453E-9575-9EEE410F277E}">
  <dimension ref="A1:R41"/>
  <sheetViews>
    <sheetView workbookViewId="0">
      <selection activeCell="D31" sqref="D31"/>
    </sheetView>
  </sheetViews>
  <sheetFormatPr defaultRowHeight="14.3" x14ac:dyDescent="0.25"/>
  <cols>
    <col min="1" max="1" width="13.625" bestFit="1" customWidth="1"/>
    <col min="2" max="2" width="3.75" customWidth="1"/>
    <col min="3" max="3" width="65.75" customWidth="1"/>
    <col min="4" max="4" width="3.75" customWidth="1"/>
    <col min="7" max="7" width="2.625" customWidth="1"/>
    <col min="8" max="8" width="13.625" bestFit="1" customWidth="1"/>
  </cols>
  <sheetData>
    <row r="1" spans="1:17" ht="14.95" customHeight="1" thickBot="1" x14ac:dyDescent="0.3">
      <c r="A1" s="319" t="s">
        <v>217</v>
      </c>
      <c r="H1" s="686" t="s">
        <v>43</v>
      </c>
      <c r="I1" s="682" t="s">
        <v>101</v>
      </c>
      <c r="J1" s="683"/>
      <c r="K1" s="682" t="s">
        <v>102</v>
      </c>
      <c r="L1" s="688"/>
      <c r="M1" s="688"/>
      <c r="N1" s="688"/>
      <c r="O1" s="683"/>
      <c r="P1" s="682" t="s">
        <v>103</v>
      </c>
      <c r="Q1" s="683"/>
    </row>
    <row r="2" spans="1:17" ht="14.95" customHeight="1" thickBot="1" x14ac:dyDescent="0.3">
      <c r="A2" s="276" t="s">
        <v>43</v>
      </c>
      <c r="B2" s="277"/>
      <c r="C2" s="278" t="s">
        <v>104</v>
      </c>
      <c r="D2" s="689" t="s">
        <v>105</v>
      </c>
      <c r="E2" s="690"/>
      <c r="F2" s="279" t="s">
        <v>91</v>
      </c>
      <c r="G2" s="185"/>
      <c r="H2" s="687"/>
      <c r="I2" s="280" t="s">
        <v>11</v>
      </c>
      <c r="J2" s="280" t="s">
        <v>12</v>
      </c>
      <c r="K2" s="281" t="s">
        <v>457</v>
      </c>
      <c r="L2" s="281" t="s">
        <v>458</v>
      </c>
      <c r="M2" s="281" t="s">
        <v>459</v>
      </c>
      <c r="N2" s="285" t="s">
        <v>460</v>
      </c>
      <c r="O2" s="284" t="s">
        <v>87</v>
      </c>
      <c r="P2" s="285" t="s">
        <v>11</v>
      </c>
      <c r="Q2" s="284" t="s">
        <v>12</v>
      </c>
    </row>
    <row r="3" spans="1:17" ht="14.95" customHeight="1" thickBot="1" x14ac:dyDescent="0.3">
      <c r="A3" s="286" t="s">
        <v>540</v>
      </c>
      <c r="B3" s="287">
        <f>loughboroughwomenyc</f>
        <v>1</v>
      </c>
      <c r="C3" s="673" t="s">
        <v>304</v>
      </c>
      <c r="D3" s="288">
        <f>loughboroughwomenrc</f>
        <v>0</v>
      </c>
      <c r="E3" s="300"/>
      <c r="F3" s="289">
        <f>SUM(B3+D3*2)</f>
        <v>1</v>
      </c>
      <c r="H3" s="290" t="s">
        <v>49</v>
      </c>
      <c r="I3" s="291">
        <v>10</v>
      </c>
      <c r="J3" s="291">
        <v>57</v>
      </c>
      <c r="K3" s="291">
        <v>67</v>
      </c>
      <c r="L3" s="291">
        <v>2</v>
      </c>
      <c r="M3" s="291">
        <v>0</v>
      </c>
      <c r="N3" s="651">
        <v>0</v>
      </c>
      <c r="O3" s="292">
        <f t="shared" ref="O3:O11" si="0">SUM(K3:N3)</f>
        <v>69</v>
      </c>
      <c r="P3" s="560">
        <f t="shared" ref="P3" si="1">SUM(I3/O3)*10</f>
        <v>1.4492753623188406</v>
      </c>
      <c r="Q3" s="561">
        <f t="shared" ref="Q3" si="2">SUM(J3/O3)*10</f>
        <v>8.2608695652173907</v>
      </c>
    </row>
    <row r="4" spans="1:17" ht="14.95" customHeight="1" thickBot="1" x14ac:dyDescent="0.3">
      <c r="A4" s="286" t="s">
        <v>4</v>
      </c>
      <c r="B4" s="294">
        <f>Exepremtotalsyc</f>
        <v>4</v>
      </c>
      <c r="C4" s="298" t="s">
        <v>618</v>
      </c>
      <c r="D4" s="288">
        <f>Exepremtotalsrc</f>
        <v>0</v>
      </c>
      <c r="E4" s="300"/>
      <c r="F4" s="289">
        <f>SUM(B4+D4*2)</f>
        <v>4</v>
      </c>
      <c r="H4" s="290" t="s">
        <v>4</v>
      </c>
      <c r="I4" s="291">
        <v>7</v>
      </c>
      <c r="J4" s="291">
        <v>17</v>
      </c>
      <c r="K4" s="291">
        <v>21</v>
      </c>
      <c r="L4" s="291">
        <v>3</v>
      </c>
      <c r="M4" s="291">
        <v>0</v>
      </c>
      <c r="N4" s="651">
        <v>0</v>
      </c>
      <c r="O4" s="292">
        <f t="shared" si="0"/>
        <v>24</v>
      </c>
      <c r="P4" s="560">
        <f t="shared" ref="P4" si="3">SUM(I4/O4)*10</f>
        <v>2.916666666666667</v>
      </c>
      <c r="Q4" s="561">
        <f t="shared" ref="Q4" si="4">SUM(J4/O4)*10</f>
        <v>7.0833333333333339</v>
      </c>
    </row>
    <row r="5" spans="1:17" ht="14.95" customHeight="1" thickBot="1" x14ac:dyDescent="0.3">
      <c r="A5" s="286" t="s">
        <v>63</v>
      </c>
      <c r="B5" s="294">
        <f>gloucesterpremseasontotalsYC</f>
        <v>5</v>
      </c>
      <c r="C5" s="295" t="s">
        <v>671</v>
      </c>
      <c r="D5" s="288">
        <f>gloucesterpremseasontotalsRC</f>
        <v>0</v>
      </c>
      <c r="E5" s="300"/>
      <c r="F5" s="289">
        <f>SUM(B5+D5*2)</f>
        <v>5</v>
      </c>
      <c r="H5" s="290" t="s">
        <v>63</v>
      </c>
      <c r="I5" s="291">
        <v>14</v>
      </c>
      <c r="J5" s="291">
        <v>33</v>
      </c>
      <c r="K5" s="291">
        <v>50</v>
      </c>
      <c r="L5" s="291">
        <v>0</v>
      </c>
      <c r="M5" s="291">
        <v>0</v>
      </c>
      <c r="N5" s="651">
        <v>0</v>
      </c>
      <c r="O5" s="292">
        <f t="shared" si="0"/>
        <v>50</v>
      </c>
      <c r="P5" s="560">
        <f t="shared" ref="P5" si="5">SUM(I5/O5)*10</f>
        <v>2.8000000000000003</v>
      </c>
      <c r="Q5" s="561">
        <f t="shared" ref="Q5" si="6">SUM(J5/O5)*10</f>
        <v>6.6000000000000005</v>
      </c>
    </row>
    <row r="6" spans="1:17" ht="14.95" customHeight="1" thickBot="1" x14ac:dyDescent="0.3">
      <c r="A6" s="286" t="s">
        <v>1</v>
      </c>
      <c r="B6" s="294">
        <f>saracenswomenyc</f>
        <v>6</v>
      </c>
      <c r="C6" s="298" t="s">
        <v>654</v>
      </c>
      <c r="D6" s="288">
        <f>saracenswomenrc</f>
        <v>0</v>
      </c>
      <c r="E6" s="300"/>
      <c r="F6" s="289">
        <f>SUM(B6+D6*2)</f>
        <v>6</v>
      </c>
      <c r="H6" s="290" t="s">
        <v>0</v>
      </c>
      <c r="I6" s="291">
        <v>34</v>
      </c>
      <c r="J6" s="291">
        <v>57</v>
      </c>
      <c r="K6" s="291">
        <v>89</v>
      </c>
      <c r="L6" s="291">
        <v>1</v>
      </c>
      <c r="M6" s="291">
        <v>0</v>
      </c>
      <c r="N6" s="651">
        <v>0</v>
      </c>
      <c r="O6" s="292">
        <f t="shared" si="0"/>
        <v>90</v>
      </c>
      <c r="P6" s="560">
        <f t="shared" ref="P6" si="7">SUM(I6/O6)*10</f>
        <v>3.7777777777777777</v>
      </c>
      <c r="Q6" s="561">
        <f t="shared" ref="Q6" si="8">SUM(J6/O6)*10</f>
        <v>6.333333333333333</v>
      </c>
    </row>
    <row r="7" spans="1:17" ht="14.95" customHeight="1" thickBot="1" x14ac:dyDescent="0.3">
      <c r="A7" s="286" t="s">
        <v>49</v>
      </c>
      <c r="B7" s="287">
        <f>BristolpremseasontotalsYC</f>
        <v>9</v>
      </c>
      <c r="C7" s="674" t="s">
        <v>623</v>
      </c>
      <c r="D7" s="288">
        <f>BristolpremseasontotalsRC</f>
        <v>0</v>
      </c>
      <c r="E7" s="300"/>
      <c r="F7" s="289">
        <f>SUM(B7+D7*2)</f>
        <v>9</v>
      </c>
      <c r="H7" s="290" t="s">
        <v>70</v>
      </c>
      <c r="I7" s="291">
        <v>19</v>
      </c>
      <c r="J7" s="291">
        <v>151</v>
      </c>
      <c r="K7" s="291">
        <v>100</v>
      </c>
      <c r="L7" s="291">
        <v>0</v>
      </c>
      <c r="M7" s="291">
        <v>0</v>
      </c>
      <c r="N7" s="651">
        <v>0</v>
      </c>
      <c r="O7" s="292">
        <f t="shared" si="0"/>
        <v>100</v>
      </c>
      <c r="P7" s="560">
        <f t="shared" ref="P7" si="9">SUM(I7/O7)*10</f>
        <v>1.9</v>
      </c>
      <c r="Q7" s="561">
        <f t="shared" ref="Q7" si="10">SUM(J7/O7)*10</f>
        <v>15.1</v>
      </c>
    </row>
    <row r="8" spans="1:17" ht="14.95" customHeight="1" thickBot="1" x14ac:dyDescent="0.3">
      <c r="A8" s="286" t="s">
        <v>100</v>
      </c>
      <c r="B8" s="294">
        <f>trailfinderswomenyc</f>
        <v>9</v>
      </c>
      <c r="C8" s="298" t="s">
        <v>648</v>
      </c>
      <c r="D8" s="288">
        <f>trailfinderswomenrc</f>
        <v>0</v>
      </c>
      <c r="E8" s="300"/>
      <c r="F8" s="289">
        <f>SUM(B8+D8*2)</f>
        <v>9</v>
      </c>
      <c r="H8" s="290" t="s">
        <v>540</v>
      </c>
      <c r="I8" s="291">
        <v>0</v>
      </c>
      <c r="J8" s="291">
        <v>0</v>
      </c>
      <c r="K8" s="291">
        <v>1</v>
      </c>
      <c r="L8" s="291">
        <v>0</v>
      </c>
      <c r="M8" s="291">
        <v>0</v>
      </c>
      <c r="N8" s="651">
        <v>0</v>
      </c>
      <c r="O8" s="292">
        <f t="shared" si="0"/>
        <v>1</v>
      </c>
      <c r="P8" s="560">
        <f t="shared" ref="P8:P9" si="11">SUM(I8/O8)*10</f>
        <v>0</v>
      </c>
      <c r="Q8" s="561">
        <f t="shared" ref="Q8:Q9" si="12">SUM(J8/O8)*10</f>
        <v>0</v>
      </c>
    </row>
    <row r="9" spans="1:17" ht="14.95" customHeight="1" thickBot="1" x14ac:dyDescent="0.3">
      <c r="A9" s="286" t="s">
        <v>3</v>
      </c>
      <c r="B9" s="294">
        <f>salewomenyc</f>
        <v>7</v>
      </c>
      <c r="C9" s="295" t="s">
        <v>600</v>
      </c>
      <c r="D9" s="299">
        <f>salewomenrc</f>
        <v>1</v>
      </c>
      <c r="E9" s="300" t="s">
        <v>321</v>
      </c>
      <c r="F9" s="289">
        <f>SUM(B9+D9*2)</f>
        <v>9</v>
      </c>
      <c r="H9" s="290" t="s">
        <v>3</v>
      </c>
      <c r="I9" s="291">
        <v>19</v>
      </c>
      <c r="J9" s="291">
        <v>67</v>
      </c>
      <c r="K9" s="291">
        <v>73</v>
      </c>
      <c r="L9" s="291">
        <v>0</v>
      </c>
      <c r="M9" s="291">
        <v>0</v>
      </c>
      <c r="N9" s="651">
        <v>0</v>
      </c>
      <c r="O9" s="292">
        <f t="shared" si="0"/>
        <v>73</v>
      </c>
      <c r="P9" s="560">
        <f t="shared" si="11"/>
        <v>2.602739726027397</v>
      </c>
      <c r="Q9" s="561">
        <f t="shared" si="12"/>
        <v>9.1780821917808222</v>
      </c>
    </row>
    <row r="10" spans="1:17" ht="14.95" customHeight="1" thickBot="1" x14ac:dyDescent="0.3">
      <c r="A10" s="286" t="s">
        <v>0</v>
      </c>
      <c r="B10" s="294">
        <f>quinswomenyc</f>
        <v>10</v>
      </c>
      <c r="C10" s="298" t="s">
        <v>662</v>
      </c>
      <c r="D10" s="288">
        <f>quinswomenrc</f>
        <v>0</v>
      </c>
      <c r="E10" s="331"/>
      <c r="F10" s="289">
        <f>SUM(B10+D10*2)</f>
        <v>10</v>
      </c>
      <c r="H10" s="290" t="s">
        <v>1</v>
      </c>
      <c r="I10" s="291">
        <v>3</v>
      </c>
      <c r="J10" s="291">
        <v>29</v>
      </c>
      <c r="K10" s="291">
        <v>58</v>
      </c>
      <c r="L10" s="291">
        <v>0</v>
      </c>
      <c r="M10" s="291">
        <v>0</v>
      </c>
      <c r="N10" s="651">
        <v>0</v>
      </c>
      <c r="O10" s="292">
        <f t="shared" si="0"/>
        <v>58</v>
      </c>
      <c r="P10" s="560">
        <f t="shared" ref="P10" si="13">SUM(I10/O10)*10</f>
        <v>0.51724137931034486</v>
      </c>
      <c r="Q10" s="561">
        <f t="shared" ref="Q10" si="14">SUM(J10/O10)*10</f>
        <v>5</v>
      </c>
    </row>
    <row r="11" spans="1:17" ht="14.95" customHeight="1" thickBot="1" x14ac:dyDescent="0.3">
      <c r="A11" s="286" t="s">
        <v>70</v>
      </c>
      <c r="B11" s="287">
        <f>leicesterwomenyc</f>
        <v>10</v>
      </c>
      <c r="C11" s="584" t="s">
        <v>651</v>
      </c>
      <c r="D11" s="288">
        <f>leicesterwomenrc</f>
        <v>0</v>
      </c>
      <c r="E11" s="300"/>
      <c r="F11" s="289">
        <f>SUM(B11+D11*2)</f>
        <v>10</v>
      </c>
      <c r="H11" s="290" t="s">
        <v>100</v>
      </c>
      <c r="I11" s="291">
        <v>28</v>
      </c>
      <c r="J11" s="291">
        <v>48</v>
      </c>
      <c r="K11" s="291">
        <v>65</v>
      </c>
      <c r="L11" s="291">
        <v>11</v>
      </c>
      <c r="M11" s="291">
        <v>0</v>
      </c>
      <c r="N11" s="652">
        <v>0</v>
      </c>
      <c r="O11" s="292">
        <f t="shared" si="0"/>
        <v>76</v>
      </c>
      <c r="P11" s="560">
        <f t="shared" ref="P11:P12" si="15">SUM(I11/O11)*10</f>
        <v>3.6842105263157894</v>
      </c>
      <c r="Q11" s="561">
        <f t="shared" ref="Q11:Q12" si="16">SUM(J11/O11)*10</f>
        <v>6.3157894736842106</v>
      </c>
    </row>
    <row r="12" spans="1:17" ht="14.95" customHeight="1" thickBot="1" x14ac:dyDescent="0.3">
      <c r="A12" s="293" t="s">
        <v>72</v>
      </c>
      <c r="B12" s="294">
        <f>SUM(B3:B11)</f>
        <v>61</v>
      </c>
      <c r="C12" s="298"/>
      <c r="D12" s="299">
        <f>SUM(D3:D11)</f>
        <v>1</v>
      </c>
      <c r="E12" s="301"/>
      <c r="F12" s="279" t="s">
        <v>43</v>
      </c>
      <c r="H12" s="302" t="s">
        <v>106</v>
      </c>
      <c r="I12" s="303">
        <f t="shared" ref="I12:O12" si="17">SUM(I3:I11)</f>
        <v>134</v>
      </c>
      <c r="J12" s="304">
        <f t="shared" si="17"/>
        <v>459</v>
      </c>
      <c r="K12" s="303">
        <f t="shared" si="17"/>
        <v>524</v>
      </c>
      <c r="L12" s="305">
        <f t="shared" si="17"/>
        <v>17</v>
      </c>
      <c r="M12" s="305">
        <f t="shared" si="17"/>
        <v>0</v>
      </c>
      <c r="N12" s="305">
        <f t="shared" si="17"/>
        <v>0</v>
      </c>
      <c r="O12" s="304">
        <f t="shared" si="17"/>
        <v>541</v>
      </c>
      <c r="P12" s="306">
        <f t="shared" si="15"/>
        <v>2.4768946395563769</v>
      </c>
      <c r="Q12" s="307">
        <f t="shared" si="16"/>
        <v>8.4842883548983359</v>
      </c>
    </row>
    <row r="13" spans="1:17" ht="14.95" customHeight="1" x14ac:dyDescent="0.25">
      <c r="A13" s="684" t="s">
        <v>107</v>
      </c>
      <c r="B13" s="685"/>
      <c r="C13" s="685"/>
      <c r="D13" s="36"/>
    </row>
    <row r="14" spans="1:17" ht="14.95" customHeight="1" thickBot="1" x14ac:dyDescent="0.3">
      <c r="A14" s="691" t="s">
        <v>322</v>
      </c>
      <c r="B14" s="692"/>
      <c r="C14" s="692"/>
      <c r="D14" s="692"/>
      <c r="E14" s="692"/>
      <c r="F14" s="692"/>
      <c r="H14" s="1" t="s">
        <v>108</v>
      </c>
    </row>
    <row r="15" spans="1:17" ht="14.95" customHeight="1" thickBot="1" x14ac:dyDescent="0.3">
      <c r="A15" s="693" t="s">
        <v>661</v>
      </c>
      <c r="B15" s="693"/>
      <c r="C15" s="693"/>
      <c r="D15" s="694"/>
      <c r="E15" s="694"/>
      <c r="F15" s="694"/>
      <c r="H15" s="686" t="s">
        <v>43</v>
      </c>
      <c r="I15" s="682" t="s">
        <v>101</v>
      </c>
      <c r="J15" s="683"/>
      <c r="K15" s="682" t="s">
        <v>43</v>
      </c>
      <c r="L15" s="688"/>
      <c r="M15" s="688"/>
      <c r="N15" s="688"/>
      <c r="O15" s="683"/>
      <c r="P15" s="682" t="s">
        <v>103</v>
      </c>
      <c r="Q15" s="683"/>
    </row>
    <row r="16" spans="1:17" ht="14.95" customHeight="1" thickBot="1" x14ac:dyDescent="0.3">
      <c r="A16" s="364" t="s">
        <v>113</v>
      </c>
      <c r="B16" s="308" t="s">
        <v>114</v>
      </c>
      <c r="C16" s="309"/>
      <c r="D16" s="308" t="s">
        <v>115</v>
      </c>
      <c r="G16" s="206"/>
      <c r="H16" s="687"/>
      <c r="I16" s="280" t="s">
        <v>11</v>
      </c>
      <c r="J16" s="280" t="s">
        <v>12</v>
      </c>
      <c r="K16" s="281" t="s">
        <v>109</v>
      </c>
      <c r="L16" s="282" t="s">
        <v>110</v>
      </c>
      <c r="M16" s="282" t="s">
        <v>111</v>
      </c>
      <c r="N16" s="283" t="s">
        <v>112</v>
      </c>
      <c r="O16" s="284" t="s">
        <v>87</v>
      </c>
      <c r="P16" s="285" t="s">
        <v>11</v>
      </c>
      <c r="Q16" s="284" t="s">
        <v>12</v>
      </c>
    </row>
    <row r="17" spans="1:18" ht="14.95" customHeight="1" x14ac:dyDescent="0.25">
      <c r="A17" s="311" t="s">
        <v>116</v>
      </c>
      <c r="B17" s="349">
        <v>4</v>
      </c>
      <c r="C17" s="349"/>
      <c r="D17" s="609">
        <v>1</v>
      </c>
      <c r="E17" s="194"/>
      <c r="G17" s="206"/>
      <c r="H17" s="290" t="s">
        <v>49</v>
      </c>
      <c r="I17" s="291">
        <v>43</v>
      </c>
      <c r="J17" s="291">
        <v>0</v>
      </c>
      <c r="K17" s="291">
        <v>34</v>
      </c>
      <c r="L17" s="291">
        <v>0</v>
      </c>
      <c r="M17" s="291">
        <v>0</v>
      </c>
      <c r="N17" s="653">
        <v>0</v>
      </c>
      <c r="O17" s="310">
        <f t="shared" ref="O17:O26" si="18">SUM(K17:N17)</f>
        <v>34</v>
      </c>
      <c r="P17" s="560">
        <f t="shared" ref="P17" si="19">SUM(I17/O17)*10</f>
        <v>12.647058823529411</v>
      </c>
      <c r="Q17" s="561">
        <f t="shared" ref="Q17" si="20">SUM(J17/O17)*10</f>
        <v>0</v>
      </c>
      <c r="R17" t="s">
        <v>43</v>
      </c>
    </row>
    <row r="18" spans="1:18" ht="14.95" customHeight="1" x14ac:dyDescent="0.25">
      <c r="A18" s="1">
        <v>2</v>
      </c>
      <c r="B18" s="610">
        <v>1</v>
      </c>
      <c r="C18" s="349"/>
      <c r="D18" s="610">
        <v>0</v>
      </c>
      <c r="E18" s="194"/>
      <c r="H18" s="290" t="s">
        <v>4</v>
      </c>
      <c r="I18" s="291">
        <v>26</v>
      </c>
      <c r="J18" s="291">
        <v>14</v>
      </c>
      <c r="K18" s="291">
        <v>40</v>
      </c>
      <c r="L18" s="291">
        <v>0</v>
      </c>
      <c r="M18" s="291">
        <v>0</v>
      </c>
      <c r="N18" s="651">
        <v>0</v>
      </c>
      <c r="O18" s="292">
        <f t="shared" si="18"/>
        <v>40</v>
      </c>
      <c r="P18" s="296">
        <f t="shared" ref="P18:P20" si="21">SUM(I18/O18)*10</f>
        <v>6.5</v>
      </c>
      <c r="Q18" s="297">
        <f t="shared" ref="Q18:Q20" si="22">SUM(J18/O18)*10</f>
        <v>3.5</v>
      </c>
    </row>
    <row r="19" spans="1:18" ht="14.95" customHeight="1" x14ac:dyDescent="0.25">
      <c r="A19" s="312">
        <v>3</v>
      </c>
      <c r="B19" s="349">
        <v>6</v>
      </c>
      <c r="C19" s="349"/>
      <c r="D19" s="610">
        <v>0</v>
      </c>
      <c r="E19" s="349"/>
      <c r="F19" s="33"/>
      <c r="H19" s="290" t="s">
        <v>63</v>
      </c>
      <c r="I19" s="291">
        <v>10</v>
      </c>
      <c r="J19" s="291">
        <v>7</v>
      </c>
      <c r="K19" s="291">
        <v>26</v>
      </c>
      <c r="L19" s="291">
        <v>0</v>
      </c>
      <c r="M19" s="291">
        <v>0</v>
      </c>
      <c r="N19" s="651">
        <v>0</v>
      </c>
      <c r="O19" s="292">
        <f t="shared" si="18"/>
        <v>26</v>
      </c>
      <c r="P19" s="560">
        <f t="shared" ref="P19" si="23">SUM(I19/O19)*10</f>
        <v>3.8461538461538463</v>
      </c>
      <c r="Q19" s="561">
        <f t="shared" ref="Q19" si="24">SUM(J19/O19)*10</f>
        <v>2.6923076923076921</v>
      </c>
    </row>
    <row r="20" spans="1:18" ht="14.95" customHeight="1" x14ac:dyDescent="0.25">
      <c r="A20" s="312">
        <v>4</v>
      </c>
      <c r="B20" s="356">
        <v>5</v>
      </c>
      <c r="C20" s="369"/>
      <c r="D20" s="654">
        <v>0</v>
      </c>
      <c r="E20" s="369"/>
      <c r="F20" s="312"/>
      <c r="H20" s="290" t="s">
        <v>0</v>
      </c>
      <c r="I20" s="291">
        <v>73</v>
      </c>
      <c r="J20" s="291">
        <v>10</v>
      </c>
      <c r="K20" s="291">
        <v>52</v>
      </c>
      <c r="L20" s="291">
        <v>9</v>
      </c>
      <c r="M20" s="291">
        <v>0</v>
      </c>
      <c r="N20" s="651">
        <v>0</v>
      </c>
      <c r="O20" s="292">
        <f t="shared" si="18"/>
        <v>61</v>
      </c>
      <c r="P20" s="296">
        <f t="shared" si="21"/>
        <v>11.967213114754099</v>
      </c>
      <c r="Q20" s="297">
        <f t="shared" si="22"/>
        <v>1.6393442622950818</v>
      </c>
    </row>
    <row r="21" spans="1:18" ht="14.95" customHeight="1" x14ac:dyDescent="0.25">
      <c r="A21" s="214">
        <v>5</v>
      </c>
      <c r="B21" s="654">
        <v>1</v>
      </c>
      <c r="C21" s="369"/>
      <c r="D21" s="654">
        <v>0</v>
      </c>
      <c r="E21" s="369"/>
      <c r="F21" s="214"/>
      <c r="H21" s="290" t="s">
        <v>70</v>
      </c>
      <c r="I21" s="291">
        <v>5</v>
      </c>
      <c r="J21" s="291">
        <v>7</v>
      </c>
      <c r="K21" s="291">
        <v>34</v>
      </c>
      <c r="L21" s="291">
        <v>0</v>
      </c>
      <c r="M21" s="291">
        <v>0</v>
      </c>
      <c r="N21" s="651">
        <v>0</v>
      </c>
      <c r="O21" s="292">
        <f t="shared" si="18"/>
        <v>34</v>
      </c>
      <c r="P21" s="296">
        <f t="shared" ref="P21" si="25">SUM(I21/O21)*10</f>
        <v>1.4705882352941178</v>
      </c>
      <c r="Q21" s="297">
        <f t="shared" ref="Q21" si="26">SUM(J21/O21)*10</f>
        <v>2.0588235294117645</v>
      </c>
    </row>
    <row r="22" spans="1:18" ht="14.95" customHeight="1" x14ac:dyDescent="0.25">
      <c r="A22" s="214">
        <v>6</v>
      </c>
      <c r="B22" s="356">
        <v>4</v>
      </c>
      <c r="C22" s="369"/>
      <c r="D22" s="654">
        <v>0</v>
      </c>
      <c r="E22" s="369"/>
      <c r="F22" s="214"/>
      <c r="G22" s="33"/>
      <c r="H22" s="290" t="s">
        <v>540</v>
      </c>
      <c r="I22" s="291">
        <v>38</v>
      </c>
      <c r="J22" s="291">
        <v>5</v>
      </c>
      <c r="K22" s="291">
        <v>58</v>
      </c>
      <c r="L22" s="291">
        <v>1</v>
      </c>
      <c r="M22" s="291">
        <v>0</v>
      </c>
      <c r="N22" s="651">
        <v>0</v>
      </c>
      <c r="O22" s="292">
        <f t="shared" si="18"/>
        <v>59</v>
      </c>
      <c r="P22" s="560">
        <f t="shared" ref="P22" si="27">SUM(I22/O22)*10</f>
        <v>6.4406779661016946</v>
      </c>
      <c r="Q22" s="561">
        <f t="shared" ref="Q22" si="28">SUM(J22/O22)*10</f>
        <v>0.84745762711864403</v>
      </c>
    </row>
    <row r="23" spans="1:18" ht="14.95" customHeight="1" x14ac:dyDescent="0.25">
      <c r="A23" s="268">
        <v>7</v>
      </c>
      <c r="B23" s="356">
        <v>3</v>
      </c>
      <c r="C23" s="369"/>
      <c r="D23" s="654">
        <v>0</v>
      </c>
      <c r="E23" s="314"/>
      <c r="F23" s="214"/>
      <c r="G23" s="193"/>
      <c r="H23" s="290" t="s">
        <v>3</v>
      </c>
      <c r="I23" s="291">
        <v>55</v>
      </c>
      <c r="J23" s="291">
        <v>7</v>
      </c>
      <c r="K23" s="291">
        <v>49</v>
      </c>
      <c r="L23" s="291">
        <v>5</v>
      </c>
      <c r="M23" s="291">
        <v>0</v>
      </c>
      <c r="N23" s="651">
        <v>0</v>
      </c>
      <c r="O23" s="292">
        <f t="shared" si="18"/>
        <v>54</v>
      </c>
      <c r="P23" s="296">
        <f t="shared" ref="P23" si="29">SUM(I23/O23)*10</f>
        <v>10.185185185185187</v>
      </c>
      <c r="Q23" s="297">
        <f t="shared" ref="Q23" si="30">SUM(J23/O23)*10</f>
        <v>1.2962962962962963</v>
      </c>
    </row>
    <row r="24" spans="1:18" ht="14.95" customHeight="1" x14ac:dyDescent="0.25">
      <c r="A24" s="268">
        <v>8</v>
      </c>
      <c r="B24" s="356">
        <v>6</v>
      </c>
      <c r="C24" s="369"/>
      <c r="D24" s="654">
        <v>0</v>
      </c>
      <c r="E24" s="314"/>
      <c r="F24" s="214"/>
      <c r="G24" s="33"/>
      <c r="H24" s="290" t="s">
        <v>1</v>
      </c>
      <c r="I24" s="291">
        <v>85</v>
      </c>
      <c r="J24" s="291">
        <v>5</v>
      </c>
      <c r="K24" s="291">
        <v>74</v>
      </c>
      <c r="L24" s="291">
        <v>0</v>
      </c>
      <c r="M24" s="291">
        <v>0</v>
      </c>
      <c r="N24" s="651">
        <v>0</v>
      </c>
      <c r="O24" s="292">
        <f t="shared" si="18"/>
        <v>74</v>
      </c>
      <c r="P24" s="560">
        <f t="shared" ref="P24" si="31">SUM(I24/O24)*10</f>
        <v>11.486486486486488</v>
      </c>
      <c r="Q24" s="561">
        <f t="shared" ref="Q24" si="32">SUM(J24/O24)*10</f>
        <v>0.67567567567567566</v>
      </c>
    </row>
    <row r="25" spans="1:18" ht="14.95" customHeight="1" thickBot="1" x14ac:dyDescent="0.3">
      <c r="A25" s="275">
        <v>9</v>
      </c>
      <c r="B25" s="669">
        <v>7</v>
      </c>
      <c r="C25" s="369"/>
      <c r="D25" s="654">
        <v>0</v>
      </c>
      <c r="E25" s="314"/>
      <c r="F25" s="214"/>
      <c r="G25" s="33"/>
      <c r="H25" s="290" t="s">
        <v>100</v>
      </c>
      <c r="I25" s="291">
        <v>90</v>
      </c>
      <c r="J25" s="291">
        <v>43</v>
      </c>
      <c r="K25" s="291">
        <v>116</v>
      </c>
      <c r="L25" s="291">
        <v>0</v>
      </c>
      <c r="M25" s="291">
        <v>0</v>
      </c>
      <c r="N25" s="652">
        <v>0</v>
      </c>
      <c r="O25" s="292">
        <f t="shared" si="18"/>
        <v>116</v>
      </c>
      <c r="P25" s="560">
        <f t="shared" ref="P25" si="33">SUM(I25/O25)*10</f>
        <v>7.7586206896551726</v>
      </c>
      <c r="Q25" s="561">
        <f t="shared" ref="Q25" si="34">SUM(J25/O25)*10</f>
        <v>3.7068965517241379</v>
      </c>
    </row>
    <row r="26" spans="1:18" ht="14.95" customHeight="1" thickBot="1" x14ac:dyDescent="0.3">
      <c r="A26" s="268">
        <v>10</v>
      </c>
      <c r="B26" s="356">
        <v>3</v>
      </c>
      <c r="C26" s="369"/>
      <c r="D26" s="654">
        <v>0</v>
      </c>
      <c r="E26" s="314"/>
      <c r="F26" s="214"/>
      <c r="G26" s="33"/>
      <c r="H26" s="302" t="s">
        <v>106</v>
      </c>
      <c r="I26" s="303">
        <f t="shared" ref="I26:N26" si="35">SUM(I17:I25)</f>
        <v>425</v>
      </c>
      <c r="J26" s="304">
        <f t="shared" si="35"/>
        <v>98</v>
      </c>
      <c r="K26" s="303">
        <f t="shared" si="35"/>
        <v>483</v>
      </c>
      <c r="L26" s="305">
        <f t="shared" si="35"/>
        <v>15</v>
      </c>
      <c r="M26" s="305">
        <f t="shared" si="35"/>
        <v>0</v>
      </c>
      <c r="N26" s="305">
        <f t="shared" si="35"/>
        <v>0</v>
      </c>
      <c r="O26" s="304">
        <f t="shared" si="18"/>
        <v>498</v>
      </c>
      <c r="P26" s="306">
        <f t="shared" ref="P26" si="36">SUM(I26/O26)*10</f>
        <v>8.5341365461847385</v>
      </c>
      <c r="Q26" s="307">
        <f t="shared" ref="Q26" si="37">SUM(J26/O26)*10</f>
        <v>1.9678714859437751</v>
      </c>
    </row>
    <row r="27" spans="1:18" ht="14.95" customHeight="1" x14ac:dyDescent="0.25">
      <c r="A27" s="275">
        <v>11</v>
      </c>
      <c r="B27" s="356">
        <v>4</v>
      </c>
      <c r="C27" s="369"/>
      <c r="D27" s="654">
        <v>0</v>
      </c>
      <c r="E27" s="314"/>
      <c r="F27" s="214"/>
      <c r="G27" s="33"/>
      <c r="H27" s="315" t="s">
        <v>43</v>
      </c>
      <c r="I27" s="36"/>
    </row>
    <row r="28" spans="1:18" ht="14.95" customHeight="1" x14ac:dyDescent="0.25">
      <c r="A28" s="268">
        <v>12</v>
      </c>
      <c r="B28" s="356">
        <v>4</v>
      </c>
      <c r="C28" s="369"/>
      <c r="D28" s="654">
        <v>0</v>
      </c>
      <c r="E28" s="314"/>
      <c r="F28" s="214"/>
      <c r="G28" s="33"/>
      <c r="H28" s="316" t="s">
        <v>214</v>
      </c>
      <c r="I28" s="1"/>
      <c r="J28" s="1"/>
      <c r="K28" s="1"/>
      <c r="M28" s="1"/>
      <c r="O28" s="1"/>
      <c r="P28" s="1"/>
      <c r="Q28" s="1"/>
    </row>
    <row r="29" spans="1:18" ht="14.95" customHeight="1" x14ac:dyDescent="0.25">
      <c r="A29" s="268">
        <v>13</v>
      </c>
      <c r="B29" s="356">
        <v>4</v>
      </c>
      <c r="C29" s="369"/>
      <c r="D29" s="654">
        <v>0</v>
      </c>
      <c r="E29" s="314"/>
      <c r="F29" s="214"/>
      <c r="G29" s="33"/>
      <c r="H29" s="1" t="s">
        <v>652</v>
      </c>
      <c r="I29" s="1"/>
      <c r="J29" s="1"/>
      <c r="K29" s="1"/>
      <c r="M29" s="1"/>
      <c r="O29" s="1"/>
      <c r="P29" s="1"/>
      <c r="Q29" s="1"/>
    </row>
    <row r="30" spans="1:18" ht="14.95" customHeight="1" x14ac:dyDescent="0.25">
      <c r="A30" s="268">
        <v>14</v>
      </c>
      <c r="B30" s="356">
        <v>6</v>
      </c>
      <c r="C30" s="369"/>
      <c r="D30" s="654">
        <v>0</v>
      </c>
      <c r="E30" s="314"/>
      <c r="F30" s="214"/>
      <c r="G30" s="33"/>
      <c r="H30" s="1" t="s">
        <v>645</v>
      </c>
      <c r="I30" s="1"/>
      <c r="J30" s="1"/>
      <c r="K30" s="1"/>
      <c r="O30" s="1"/>
      <c r="P30" s="1"/>
      <c r="Q30" s="1"/>
    </row>
    <row r="31" spans="1:18" ht="14.95" customHeight="1" x14ac:dyDescent="0.25">
      <c r="A31" s="268">
        <v>15</v>
      </c>
      <c r="B31" s="356">
        <v>3</v>
      </c>
      <c r="C31" s="369"/>
      <c r="D31" s="654">
        <v>0</v>
      </c>
      <c r="E31" s="314"/>
      <c r="F31" s="214"/>
      <c r="H31" s="1" t="s">
        <v>632</v>
      </c>
      <c r="I31" s="1"/>
      <c r="J31" s="1"/>
      <c r="K31" s="1"/>
    </row>
    <row r="32" spans="1:18" ht="14.95" customHeight="1" x14ac:dyDescent="0.25">
      <c r="A32" s="268">
        <v>16</v>
      </c>
      <c r="B32" s="356"/>
      <c r="C32" s="369"/>
      <c r="D32" s="356"/>
      <c r="E32" s="194"/>
      <c r="H32" s="1" t="s">
        <v>619</v>
      </c>
      <c r="I32" s="1"/>
      <c r="J32" s="1"/>
      <c r="K32" s="1"/>
    </row>
    <row r="33" spans="1:13" ht="14.95" customHeight="1" x14ac:dyDescent="0.25">
      <c r="A33" s="268">
        <v>17</v>
      </c>
      <c r="B33" s="356"/>
      <c r="C33" s="369"/>
      <c r="D33" s="356"/>
      <c r="E33" s="194"/>
      <c r="H33" s="1" t="s">
        <v>672</v>
      </c>
      <c r="I33" s="1"/>
      <c r="J33" s="1"/>
      <c r="K33" s="1"/>
    </row>
    <row r="34" spans="1:13" ht="14.95" customHeight="1" thickBot="1" x14ac:dyDescent="0.3">
      <c r="A34" s="471">
        <v>18</v>
      </c>
      <c r="B34" s="472"/>
      <c r="C34" s="473"/>
      <c r="D34" s="472"/>
      <c r="E34" s="474"/>
      <c r="H34" s="316" t="s">
        <v>215</v>
      </c>
      <c r="J34" s="1"/>
      <c r="K34" s="1"/>
      <c r="L34" s="1"/>
      <c r="M34" s="316" t="s">
        <v>216</v>
      </c>
    </row>
    <row r="35" spans="1:13" ht="14.95" customHeight="1" x14ac:dyDescent="0.25">
      <c r="A35" s="468" t="s">
        <v>128</v>
      </c>
      <c r="B35" s="469"/>
      <c r="C35" s="470"/>
      <c r="D35" s="469"/>
      <c r="E35" s="464"/>
      <c r="H35" s="1" t="s">
        <v>506</v>
      </c>
      <c r="J35" s="1"/>
      <c r="K35" s="1"/>
      <c r="L35" s="1"/>
      <c r="M35" t="s">
        <v>620</v>
      </c>
    </row>
    <row r="36" spans="1:13" ht="14.95" customHeight="1" x14ac:dyDescent="0.25">
      <c r="A36" s="468" t="s">
        <v>129</v>
      </c>
      <c r="B36" s="469"/>
      <c r="C36" s="470"/>
      <c r="D36" s="469"/>
      <c r="E36" s="464"/>
      <c r="H36" s="1" t="s">
        <v>557</v>
      </c>
    </row>
    <row r="37" spans="1:13" ht="14.95" customHeight="1" x14ac:dyDescent="0.25">
      <c r="A37" s="268"/>
      <c r="B37" s="275">
        <f>SUM(B17:B36)</f>
        <v>61</v>
      </c>
      <c r="C37" s="313"/>
      <c r="D37" s="314">
        <f>SUM(D17:D36)</f>
        <v>1</v>
      </c>
      <c r="H37" s="1" t="s">
        <v>673</v>
      </c>
    </row>
    <row r="38" spans="1:13" ht="14.95" customHeight="1" x14ac:dyDescent="0.3">
      <c r="A38" s="475" t="s">
        <v>47</v>
      </c>
      <c r="H38" s="316"/>
    </row>
    <row r="39" spans="1:13" ht="14.95" customHeight="1" x14ac:dyDescent="0.25">
      <c r="H39" s="194"/>
    </row>
    <row r="40" spans="1:13" x14ac:dyDescent="0.25">
      <c r="H40" s="316"/>
    </row>
    <row r="41" spans="1:13" x14ac:dyDescent="0.25">
      <c r="H41" s="68"/>
    </row>
  </sheetData>
  <sortState xmlns:xlrd2="http://schemas.microsoft.com/office/spreadsheetml/2017/richdata2" ref="A3:F11">
    <sortCondition ref="F3:F11"/>
    <sortCondition ref="D3:D11"/>
    <sortCondition ref="B3:B11"/>
    <sortCondition ref="A3:A11"/>
  </sortState>
  <mergeCells count="12">
    <mergeCell ref="P15:Q15"/>
    <mergeCell ref="A13:C13"/>
    <mergeCell ref="H1:H2"/>
    <mergeCell ref="I1:J1"/>
    <mergeCell ref="K1:O1"/>
    <mergeCell ref="P1:Q1"/>
    <mergeCell ref="D2:E2"/>
    <mergeCell ref="A14:F14"/>
    <mergeCell ref="A15:F15"/>
    <mergeCell ref="H15:H16"/>
    <mergeCell ref="I15:J15"/>
    <mergeCell ref="K15:O15"/>
  </mergeCells>
  <pageMargins left="0.7" right="0.7" top="0.75" bottom="0.75" header="0.3" footer="0.3"/>
  <ignoredErrors>
    <ignoredError sqref="O3 O25 O7 O5 O23 O22 O4 O24 K12:O16 O10 O21 O19 O6 O9 O18 O17 O8 O20 O11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F5BE8-248F-4511-A06C-6C7CC181A353}">
  <dimension ref="A1:AY55"/>
  <sheetViews>
    <sheetView topLeftCell="A32" workbookViewId="0">
      <pane xSplit="1" topLeftCell="B1" activePane="topRight" state="frozen"/>
      <selection pane="topRight" activeCell="AB52" sqref="AB52"/>
    </sheetView>
  </sheetViews>
  <sheetFormatPr defaultRowHeight="14.3" x14ac:dyDescent="0.25"/>
  <cols>
    <col min="1" max="1" width="15.625" customWidth="1"/>
    <col min="2" max="51" width="5.75" customWidth="1"/>
  </cols>
  <sheetData>
    <row r="1" spans="1:38" ht="14.45" customHeight="1" x14ac:dyDescent="0.25">
      <c r="A1" s="245" t="s">
        <v>90</v>
      </c>
      <c r="B1" s="700">
        <v>10</v>
      </c>
      <c r="C1" s="700"/>
      <c r="D1" s="698">
        <v>11</v>
      </c>
      <c r="E1" s="700"/>
      <c r="F1" s="698">
        <v>12</v>
      </c>
      <c r="G1" s="700"/>
      <c r="H1" s="698">
        <v>13</v>
      </c>
      <c r="I1" s="699"/>
      <c r="J1" s="698">
        <v>14</v>
      </c>
      <c r="K1" s="700"/>
      <c r="L1" s="698">
        <v>15</v>
      </c>
      <c r="M1" s="700"/>
      <c r="N1" s="246" t="s">
        <v>14</v>
      </c>
    </row>
    <row r="2" spans="1:38" x14ac:dyDescent="0.25">
      <c r="A2" s="247"/>
      <c r="B2" s="248" t="s">
        <v>91</v>
      </c>
      <c r="C2" s="250" t="s">
        <v>92</v>
      </c>
      <c r="D2" s="248" t="s">
        <v>91</v>
      </c>
      <c r="E2" s="250" t="s">
        <v>92</v>
      </c>
      <c r="F2" s="248" t="s">
        <v>91</v>
      </c>
      <c r="G2" s="250" t="s">
        <v>92</v>
      </c>
      <c r="H2" s="248" t="s">
        <v>91</v>
      </c>
      <c r="I2" s="250" t="s">
        <v>92</v>
      </c>
      <c r="J2" s="248" t="s">
        <v>91</v>
      </c>
      <c r="K2" s="250" t="s">
        <v>92</v>
      </c>
      <c r="L2" s="248" t="s">
        <v>91</v>
      </c>
      <c r="M2" s="250" t="s">
        <v>92</v>
      </c>
      <c r="N2" s="251"/>
    </row>
    <row r="3" spans="1:38" ht="14.95" customHeight="1" x14ac:dyDescent="0.25">
      <c r="A3" s="252" t="s">
        <v>63</v>
      </c>
      <c r="B3" s="248">
        <v>5</v>
      </c>
      <c r="C3" s="863" t="s">
        <v>95</v>
      </c>
      <c r="D3" s="255">
        <v>5</v>
      </c>
      <c r="E3" s="256" t="s">
        <v>95</v>
      </c>
      <c r="F3" s="259"/>
      <c r="G3" s="583"/>
      <c r="H3" s="255">
        <v>5</v>
      </c>
      <c r="I3" s="256" t="s">
        <v>95</v>
      </c>
      <c r="J3" s="248">
        <v>5</v>
      </c>
      <c r="K3" s="254" t="s">
        <v>95</v>
      </c>
      <c r="L3" s="248">
        <v>5</v>
      </c>
      <c r="M3" s="253" t="s">
        <v>95</v>
      </c>
      <c r="N3" s="257">
        <f>SUM(B3+D3+F3+H3+J3+L3)</f>
        <v>25</v>
      </c>
    </row>
    <row r="4" spans="1:38" ht="14.95" customHeight="1" x14ac:dyDescent="0.25">
      <c r="A4" s="252" t="s">
        <v>62</v>
      </c>
      <c r="B4" s="255">
        <v>0</v>
      </c>
      <c r="C4" s="862" t="s">
        <v>96</v>
      </c>
      <c r="D4" s="248">
        <v>5</v>
      </c>
      <c r="E4" s="863" t="s">
        <v>95</v>
      </c>
      <c r="F4" s="255">
        <v>4</v>
      </c>
      <c r="G4" s="258" t="s">
        <v>93</v>
      </c>
      <c r="H4" s="255">
        <v>5</v>
      </c>
      <c r="I4" s="862" t="s">
        <v>95</v>
      </c>
      <c r="J4" s="248">
        <v>5</v>
      </c>
      <c r="K4" s="254" t="s">
        <v>95</v>
      </c>
      <c r="L4" s="255">
        <v>4</v>
      </c>
      <c r="M4" s="256" t="s">
        <v>93</v>
      </c>
      <c r="N4" s="257">
        <f>SUM(B4+D4+F4+H4+J4+L4)</f>
        <v>23</v>
      </c>
    </row>
    <row r="5" spans="1:38" ht="14.95" customHeight="1" x14ac:dyDescent="0.25">
      <c r="A5" s="252" t="s">
        <v>1</v>
      </c>
      <c r="B5" s="248">
        <v>5</v>
      </c>
      <c r="C5" s="253" t="s">
        <v>95</v>
      </c>
      <c r="D5" s="255">
        <v>5</v>
      </c>
      <c r="E5" s="256" t="s">
        <v>95</v>
      </c>
      <c r="F5" s="255">
        <v>5</v>
      </c>
      <c r="G5" s="256" t="s">
        <v>95</v>
      </c>
      <c r="H5" s="248">
        <v>5</v>
      </c>
      <c r="I5" s="254" t="s">
        <v>95</v>
      </c>
      <c r="J5" s="255">
        <v>1</v>
      </c>
      <c r="K5" s="256" t="s">
        <v>94</v>
      </c>
      <c r="L5" s="259"/>
      <c r="M5" s="583"/>
      <c r="N5" s="257">
        <f>SUM(B5+D5+F5+H5+J5+L5)</f>
        <v>21</v>
      </c>
    </row>
    <row r="6" spans="1:38" ht="14.95" customHeight="1" x14ac:dyDescent="0.25">
      <c r="A6" s="252" t="s">
        <v>52</v>
      </c>
      <c r="B6" s="248">
        <v>3</v>
      </c>
      <c r="C6" s="863" t="s">
        <v>413</v>
      </c>
      <c r="D6" s="255">
        <v>5</v>
      </c>
      <c r="E6" s="256" t="s">
        <v>95</v>
      </c>
      <c r="F6" s="248">
        <v>0</v>
      </c>
      <c r="G6" s="863" t="s">
        <v>96</v>
      </c>
      <c r="H6" s="248">
        <v>1</v>
      </c>
      <c r="I6" s="863" t="s">
        <v>97</v>
      </c>
      <c r="J6" s="255">
        <v>5</v>
      </c>
      <c r="K6" s="862" t="s">
        <v>95</v>
      </c>
      <c r="L6" s="248">
        <v>5</v>
      </c>
      <c r="M6" s="254" t="s">
        <v>95</v>
      </c>
      <c r="N6" s="257">
        <f>SUM(B6+D6+F6+H6+J6+L6)</f>
        <v>19</v>
      </c>
    </row>
    <row r="7" spans="1:38" ht="14.95" customHeight="1" x14ac:dyDescent="0.25">
      <c r="A7" s="252" t="s">
        <v>53</v>
      </c>
      <c r="B7" s="255">
        <v>3</v>
      </c>
      <c r="C7" s="258" t="s">
        <v>413</v>
      </c>
      <c r="D7" s="248">
        <v>2</v>
      </c>
      <c r="E7" s="254" t="s">
        <v>204</v>
      </c>
      <c r="F7" s="248">
        <v>5</v>
      </c>
      <c r="G7" s="253" t="s">
        <v>95</v>
      </c>
      <c r="H7" s="255">
        <v>5</v>
      </c>
      <c r="I7" s="258" t="s">
        <v>95</v>
      </c>
      <c r="J7" s="351"/>
      <c r="K7" s="361"/>
      <c r="L7" s="248">
        <v>0</v>
      </c>
      <c r="M7" s="253" t="s">
        <v>96</v>
      </c>
      <c r="N7" s="257">
        <f>SUM(B7+D7+F7+H7+J7+L7)</f>
        <v>15</v>
      </c>
    </row>
    <row r="8" spans="1:38" ht="14.95" customHeight="1" x14ac:dyDescent="0.25">
      <c r="A8" s="252" t="s">
        <v>100</v>
      </c>
      <c r="B8" s="248">
        <v>3</v>
      </c>
      <c r="C8" s="863" t="s">
        <v>413</v>
      </c>
      <c r="D8" s="255">
        <v>2</v>
      </c>
      <c r="E8" s="258" t="s">
        <v>204</v>
      </c>
      <c r="F8" s="248">
        <v>5</v>
      </c>
      <c r="G8" s="863" t="s">
        <v>95</v>
      </c>
      <c r="H8" s="351"/>
      <c r="I8" s="864"/>
      <c r="J8" s="248">
        <v>0</v>
      </c>
      <c r="K8" s="863" t="s">
        <v>96</v>
      </c>
      <c r="L8" s="248">
        <v>4</v>
      </c>
      <c r="M8" s="253" t="s">
        <v>93</v>
      </c>
      <c r="N8" s="257">
        <f>SUM(B8+D8+F8+H8+J8+L8)</f>
        <v>14</v>
      </c>
    </row>
    <row r="9" spans="1:38" ht="14.95" customHeight="1" x14ac:dyDescent="0.25">
      <c r="A9" s="252" t="s">
        <v>540</v>
      </c>
      <c r="B9" s="259"/>
      <c r="C9" s="360"/>
      <c r="D9" s="248">
        <v>0</v>
      </c>
      <c r="E9" s="253" t="s">
        <v>96</v>
      </c>
      <c r="F9" s="255">
        <v>1</v>
      </c>
      <c r="G9" s="256" t="s">
        <v>94</v>
      </c>
      <c r="H9" s="248">
        <v>2</v>
      </c>
      <c r="I9" s="253" t="s">
        <v>204</v>
      </c>
      <c r="J9" s="255">
        <v>5</v>
      </c>
      <c r="K9" s="256" t="s">
        <v>95</v>
      </c>
      <c r="L9" s="255">
        <v>2</v>
      </c>
      <c r="M9" s="862" t="s">
        <v>204</v>
      </c>
      <c r="N9" s="257">
        <f>SUM(B9+D9+F9+H9+J9+L9)</f>
        <v>10</v>
      </c>
    </row>
    <row r="10" spans="1:38" ht="14.95" customHeight="1" x14ac:dyDescent="0.25">
      <c r="A10" s="252" t="s">
        <v>0</v>
      </c>
      <c r="B10" s="255">
        <v>3</v>
      </c>
      <c r="C10" s="258" t="s">
        <v>413</v>
      </c>
      <c r="D10" s="248">
        <v>1</v>
      </c>
      <c r="E10" s="863" t="s">
        <v>97</v>
      </c>
      <c r="F10" s="248">
        <v>1</v>
      </c>
      <c r="G10" s="254" t="s">
        <v>94</v>
      </c>
      <c r="H10" s="255">
        <v>1</v>
      </c>
      <c r="I10" s="256" t="s">
        <v>97</v>
      </c>
      <c r="J10" s="248">
        <v>1</v>
      </c>
      <c r="K10" s="254" t="s">
        <v>97</v>
      </c>
      <c r="L10" s="255">
        <v>1</v>
      </c>
      <c r="M10" s="256" t="s">
        <v>94</v>
      </c>
      <c r="N10" s="257">
        <f>SUM(B10+D10+F10+H10+J10+L10)</f>
        <v>8</v>
      </c>
    </row>
    <row r="11" spans="1:38" ht="14.95" thickBot="1" x14ac:dyDescent="0.3">
      <c r="A11" s="260" t="s">
        <v>70</v>
      </c>
      <c r="B11" s="264">
        <v>0</v>
      </c>
      <c r="C11" s="265" t="s">
        <v>96</v>
      </c>
      <c r="D11" s="353"/>
      <c r="E11" s="413"/>
      <c r="F11" s="264">
        <v>0</v>
      </c>
      <c r="G11" s="266" t="s">
        <v>96</v>
      </c>
      <c r="H11" s="261">
        <v>0</v>
      </c>
      <c r="I11" s="263" t="s">
        <v>96</v>
      </c>
      <c r="J11" s="264">
        <v>0</v>
      </c>
      <c r="K11" s="266" t="s">
        <v>96</v>
      </c>
      <c r="L11" s="264">
        <v>0</v>
      </c>
      <c r="M11" s="265" t="s">
        <v>96</v>
      </c>
      <c r="N11" s="267">
        <f>SUM(B11+D11+F11+H11+J11+L11)</f>
        <v>0</v>
      </c>
    </row>
    <row r="12" spans="1:38" ht="14.95" customHeight="1" x14ac:dyDescent="0.25">
      <c r="A12" s="701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</row>
    <row r="13" spans="1:38" ht="14.95" customHeight="1" x14ac:dyDescent="0.25">
      <c r="A13" s="319" t="s">
        <v>217</v>
      </c>
    </row>
    <row r="14" spans="1:38" ht="14.95" customHeight="1" thickBot="1" x14ac:dyDescent="0.3">
      <c r="A14" s="1" t="s">
        <v>99</v>
      </c>
    </row>
    <row r="15" spans="1:38" ht="14.95" customHeight="1" x14ac:dyDescent="0.25">
      <c r="A15" s="245" t="s">
        <v>90</v>
      </c>
      <c r="B15" s="698">
        <v>1</v>
      </c>
      <c r="C15" s="699"/>
      <c r="D15" s="698">
        <v>2</v>
      </c>
      <c r="E15" s="700"/>
      <c r="F15" s="698">
        <v>3</v>
      </c>
      <c r="G15" s="700"/>
      <c r="H15" s="698">
        <v>4</v>
      </c>
      <c r="I15" s="700"/>
      <c r="J15" s="698">
        <v>5</v>
      </c>
      <c r="K15" s="700"/>
      <c r="L15" s="698">
        <v>6</v>
      </c>
      <c r="M15" s="700"/>
      <c r="N15" s="698">
        <v>7</v>
      </c>
      <c r="O15" s="699"/>
      <c r="P15" s="698">
        <v>8</v>
      </c>
      <c r="Q15" s="699"/>
      <c r="R15" s="698">
        <v>9</v>
      </c>
      <c r="S15" s="699"/>
      <c r="T15" s="700">
        <v>10</v>
      </c>
      <c r="U15" s="700"/>
      <c r="V15" s="698">
        <v>11</v>
      </c>
      <c r="W15" s="700"/>
      <c r="X15" s="698">
        <v>12</v>
      </c>
      <c r="Y15" s="700"/>
      <c r="Z15" s="698">
        <v>13</v>
      </c>
      <c r="AA15" s="699"/>
      <c r="AB15" s="698">
        <v>14</v>
      </c>
      <c r="AC15" s="700"/>
      <c r="AD15" s="698">
        <v>15</v>
      </c>
      <c r="AE15" s="700"/>
      <c r="AF15" s="698">
        <v>16</v>
      </c>
      <c r="AG15" s="699"/>
      <c r="AH15" s="698">
        <v>17</v>
      </c>
      <c r="AI15" s="700"/>
      <c r="AJ15" s="698">
        <v>18</v>
      </c>
      <c r="AK15" s="699"/>
      <c r="AL15" s="269" t="s">
        <v>14</v>
      </c>
    </row>
    <row r="16" spans="1:38" ht="14.95" customHeight="1" x14ac:dyDescent="0.25">
      <c r="A16" s="247"/>
      <c r="B16" s="248" t="s">
        <v>91</v>
      </c>
      <c r="C16" s="250" t="s">
        <v>92</v>
      </c>
      <c r="D16" s="248" t="s">
        <v>91</v>
      </c>
      <c r="E16" s="250" t="s">
        <v>92</v>
      </c>
      <c r="F16" s="248" t="s">
        <v>91</v>
      </c>
      <c r="G16" s="250" t="s">
        <v>92</v>
      </c>
      <c r="H16" s="248" t="s">
        <v>91</v>
      </c>
      <c r="I16" s="250" t="s">
        <v>92</v>
      </c>
      <c r="J16" s="248" t="s">
        <v>91</v>
      </c>
      <c r="K16" s="250" t="s">
        <v>92</v>
      </c>
      <c r="L16" s="248" t="s">
        <v>91</v>
      </c>
      <c r="M16" s="250" t="s">
        <v>92</v>
      </c>
      <c r="N16" s="248" t="s">
        <v>91</v>
      </c>
      <c r="O16" s="250" t="s">
        <v>92</v>
      </c>
      <c r="P16" s="248" t="s">
        <v>91</v>
      </c>
      <c r="Q16" s="250" t="s">
        <v>92</v>
      </c>
      <c r="R16" s="248" t="s">
        <v>91</v>
      </c>
      <c r="S16" s="250" t="s">
        <v>92</v>
      </c>
      <c r="T16" s="248" t="s">
        <v>91</v>
      </c>
      <c r="U16" s="250" t="s">
        <v>92</v>
      </c>
      <c r="V16" s="248" t="s">
        <v>91</v>
      </c>
      <c r="W16" s="250" t="s">
        <v>92</v>
      </c>
      <c r="X16" s="248" t="s">
        <v>91</v>
      </c>
      <c r="Y16" s="250" t="s">
        <v>92</v>
      </c>
      <c r="Z16" s="248" t="s">
        <v>91</v>
      </c>
      <c r="AA16" s="250" t="s">
        <v>92</v>
      </c>
      <c r="AB16" s="248" t="s">
        <v>91</v>
      </c>
      <c r="AC16" s="250" t="s">
        <v>92</v>
      </c>
      <c r="AD16" s="248" t="s">
        <v>91</v>
      </c>
      <c r="AE16" s="250" t="s">
        <v>92</v>
      </c>
      <c r="AF16" s="248" t="s">
        <v>91</v>
      </c>
      <c r="AG16" s="250" t="s">
        <v>92</v>
      </c>
      <c r="AH16" s="248" t="s">
        <v>91</v>
      </c>
      <c r="AI16" s="250" t="s">
        <v>92</v>
      </c>
      <c r="AJ16" s="248" t="s">
        <v>91</v>
      </c>
      <c r="AK16" s="250" t="s">
        <v>92</v>
      </c>
      <c r="AL16" s="270"/>
    </row>
    <row r="17" spans="1:51" ht="14.95" customHeight="1" x14ac:dyDescent="0.25">
      <c r="A17" s="252" t="s">
        <v>53</v>
      </c>
      <c r="B17" s="351"/>
      <c r="C17" s="352"/>
      <c r="D17" s="255">
        <v>5</v>
      </c>
      <c r="E17" s="256" t="s">
        <v>95</v>
      </c>
      <c r="F17" s="255">
        <v>0</v>
      </c>
      <c r="G17" s="258" t="s">
        <v>96</v>
      </c>
      <c r="H17" s="248">
        <v>0</v>
      </c>
      <c r="I17" s="253" t="s">
        <v>96</v>
      </c>
      <c r="J17" s="255">
        <v>0</v>
      </c>
      <c r="K17" s="258" t="s">
        <v>96</v>
      </c>
      <c r="L17" s="248">
        <v>0</v>
      </c>
      <c r="M17" s="253" t="s">
        <v>96</v>
      </c>
      <c r="N17" s="255">
        <v>0</v>
      </c>
      <c r="O17" s="258" t="s">
        <v>96</v>
      </c>
      <c r="P17" s="248">
        <v>0</v>
      </c>
      <c r="Q17" s="253" t="s">
        <v>96</v>
      </c>
      <c r="R17" s="255">
        <v>5</v>
      </c>
      <c r="S17" s="256" t="s">
        <v>95</v>
      </c>
      <c r="T17" s="255">
        <v>3</v>
      </c>
      <c r="U17" s="256" t="s">
        <v>413</v>
      </c>
      <c r="V17" s="248">
        <v>2</v>
      </c>
      <c r="W17" s="254" t="s">
        <v>204</v>
      </c>
      <c r="X17" s="248">
        <v>5</v>
      </c>
      <c r="Y17" s="254" t="s">
        <v>95</v>
      </c>
      <c r="Z17" s="255">
        <v>5</v>
      </c>
      <c r="AA17" s="256" t="s">
        <v>95</v>
      </c>
      <c r="AB17" s="351"/>
      <c r="AC17" s="352"/>
      <c r="AD17" s="248">
        <v>0</v>
      </c>
      <c r="AE17" s="253" t="s">
        <v>96</v>
      </c>
      <c r="AF17" s="248"/>
      <c r="AG17" s="254"/>
      <c r="AH17" s="248"/>
      <c r="AI17" s="254"/>
      <c r="AJ17" s="248"/>
      <c r="AK17" s="254"/>
      <c r="AL17" s="271">
        <f>SUM(B17+D17+F17+H17+J17+L17+N17+P17+R17+T17+V17+X17+Z17+AB17+AD17+AF17+AH17+AJ17)</f>
        <v>25</v>
      </c>
    </row>
    <row r="18" spans="1:51" ht="14.95" customHeight="1" x14ac:dyDescent="0.25">
      <c r="A18" s="252" t="s">
        <v>52</v>
      </c>
      <c r="B18" s="248">
        <v>5</v>
      </c>
      <c r="C18" s="253" t="s">
        <v>95</v>
      </c>
      <c r="D18" s="255">
        <v>1</v>
      </c>
      <c r="E18" s="256" t="s">
        <v>97</v>
      </c>
      <c r="F18" s="248">
        <v>3</v>
      </c>
      <c r="G18" s="254" t="s">
        <v>413</v>
      </c>
      <c r="H18" s="255">
        <v>5</v>
      </c>
      <c r="I18" s="256" t="s">
        <v>95</v>
      </c>
      <c r="J18" s="248">
        <v>3</v>
      </c>
      <c r="K18" s="254" t="s">
        <v>413</v>
      </c>
      <c r="L18" s="255">
        <v>5</v>
      </c>
      <c r="M18" s="256" t="s">
        <v>95</v>
      </c>
      <c r="N18" s="255">
        <v>0</v>
      </c>
      <c r="O18" s="258" t="s">
        <v>96</v>
      </c>
      <c r="P18" s="351"/>
      <c r="Q18" s="352"/>
      <c r="R18" s="255">
        <v>5</v>
      </c>
      <c r="S18" s="256" t="s">
        <v>95</v>
      </c>
      <c r="T18" s="248">
        <v>3</v>
      </c>
      <c r="U18" s="254" t="s">
        <v>413</v>
      </c>
      <c r="V18" s="255">
        <v>5</v>
      </c>
      <c r="W18" s="256" t="s">
        <v>95</v>
      </c>
      <c r="X18" s="248">
        <v>0</v>
      </c>
      <c r="Y18" s="253" t="s">
        <v>96</v>
      </c>
      <c r="Z18" s="248">
        <v>1</v>
      </c>
      <c r="AA18" s="254" t="s">
        <v>97</v>
      </c>
      <c r="AB18" s="255">
        <v>5</v>
      </c>
      <c r="AC18" s="256" t="s">
        <v>95</v>
      </c>
      <c r="AD18" s="248">
        <v>5</v>
      </c>
      <c r="AE18" s="254" t="s">
        <v>95</v>
      </c>
      <c r="AF18" s="248"/>
      <c r="AG18" s="254"/>
      <c r="AH18" s="248"/>
      <c r="AI18" s="254"/>
      <c r="AJ18" s="248"/>
      <c r="AK18" s="254"/>
      <c r="AL18" s="271">
        <f t="shared" ref="AL18:AL25" si="0">SUM(B18+D18+F18+H18+J18+L18+N18+P18+R18+T18+V18+X18+Z18+AB18+AD18+AF18+AH18+AJ18)</f>
        <v>46</v>
      </c>
    </row>
    <row r="19" spans="1:51" ht="14.95" customHeight="1" x14ac:dyDescent="0.25">
      <c r="A19" s="252" t="s">
        <v>63</v>
      </c>
      <c r="B19" s="255">
        <v>5</v>
      </c>
      <c r="C19" s="256" t="s">
        <v>95</v>
      </c>
      <c r="D19" s="248">
        <v>5</v>
      </c>
      <c r="E19" s="253" t="s">
        <v>95</v>
      </c>
      <c r="F19" s="248">
        <v>5</v>
      </c>
      <c r="G19" s="253" t="s">
        <v>95</v>
      </c>
      <c r="H19" s="255">
        <v>5</v>
      </c>
      <c r="I19" s="256" t="s">
        <v>95</v>
      </c>
      <c r="J19" s="248">
        <v>5</v>
      </c>
      <c r="K19" s="253" t="s">
        <v>95</v>
      </c>
      <c r="L19" s="255">
        <v>5</v>
      </c>
      <c r="M19" s="256" t="s">
        <v>95</v>
      </c>
      <c r="N19" s="259"/>
      <c r="O19" s="583"/>
      <c r="P19" s="248">
        <v>5</v>
      </c>
      <c r="Q19" s="253" t="s">
        <v>95</v>
      </c>
      <c r="R19" s="255">
        <v>5</v>
      </c>
      <c r="S19" s="256" t="s">
        <v>95</v>
      </c>
      <c r="T19" s="248">
        <v>5</v>
      </c>
      <c r="U19" s="253" t="s">
        <v>95</v>
      </c>
      <c r="V19" s="255">
        <v>5</v>
      </c>
      <c r="W19" s="256" t="s">
        <v>95</v>
      </c>
      <c r="X19" s="259"/>
      <c r="Y19" s="583"/>
      <c r="Z19" s="255">
        <v>5</v>
      </c>
      <c r="AA19" s="256" t="s">
        <v>95</v>
      </c>
      <c r="AB19" s="248">
        <v>5</v>
      </c>
      <c r="AC19" s="254" t="s">
        <v>95</v>
      </c>
      <c r="AD19" s="248">
        <v>5</v>
      </c>
      <c r="AE19" s="254" t="s">
        <v>95</v>
      </c>
      <c r="AF19" s="255"/>
      <c r="AG19" s="256"/>
      <c r="AH19" s="255"/>
      <c r="AI19" s="256"/>
      <c r="AJ19" s="255"/>
      <c r="AK19" s="256"/>
      <c r="AL19" s="271">
        <f t="shared" si="0"/>
        <v>65</v>
      </c>
    </row>
    <row r="20" spans="1:51" ht="14.95" customHeight="1" x14ac:dyDescent="0.25">
      <c r="A20" s="252" t="s">
        <v>0</v>
      </c>
      <c r="B20" s="255">
        <v>5</v>
      </c>
      <c r="C20" s="256" t="s">
        <v>95</v>
      </c>
      <c r="D20" s="248">
        <v>0</v>
      </c>
      <c r="E20" s="253" t="s">
        <v>96</v>
      </c>
      <c r="F20" s="255">
        <v>2</v>
      </c>
      <c r="G20" s="256" t="s">
        <v>395</v>
      </c>
      <c r="H20" s="248">
        <v>1</v>
      </c>
      <c r="I20" s="254" t="s">
        <v>97</v>
      </c>
      <c r="J20" s="259"/>
      <c r="K20" s="583"/>
      <c r="L20" s="248">
        <v>5</v>
      </c>
      <c r="M20" s="253" t="s">
        <v>95</v>
      </c>
      <c r="N20" s="255">
        <v>5</v>
      </c>
      <c r="O20" s="256" t="s">
        <v>95</v>
      </c>
      <c r="P20" s="255">
        <v>5</v>
      </c>
      <c r="Q20" s="256" t="s">
        <v>95</v>
      </c>
      <c r="R20" s="248">
        <v>5</v>
      </c>
      <c r="S20" s="253" t="s">
        <v>95</v>
      </c>
      <c r="T20" s="255">
        <v>3</v>
      </c>
      <c r="U20" s="256" t="s">
        <v>413</v>
      </c>
      <c r="V20" s="248">
        <v>1</v>
      </c>
      <c r="W20" s="254" t="s">
        <v>97</v>
      </c>
      <c r="X20" s="248">
        <v>1</v>
      </c>
      <c r="Y20" s="254" t="s">
        <v>94</v>
      </c>
      <c r="Z20" s="255">
        <v>1</v>
      </c>
      <c r="AA20" s="256" t="s">
        <v>97</v>
      </c>
      <c r="AB20" s="248">
        <v>1</v>
      </c>
      <c r="AC20" s="254" t="s">
        <v>97</v>
      </c>
      <c r="AD20" s="255">
        <v>1</v>
      </c>
      <c r="AE20" s="256" t="s">
        <v>94</v>
      </c>
      <c r="AF20" s="255"/>
      <c r="AG20" s="256"/>
      <c r="AH20" s="255"/>
      <c r="AI20" s="256"/>
      <c r="AJ20" s="255"/>
      <c r="AK20" s="256"/>
      <c r="AL20" s="271">
        <f t="shared" si="0"/>
        <v>36</v>
      </c>
    </row>
    <row r="21" spans="1:51" ht="14.95" customHeight="1" x14ac:dyDescent="0.25">
      <c r="A21" s="252" t="s">
        <v>70</v>
      </c>
      <c r="B21" s="248">
        <v>0</v>
      </c>
      <c r="C21" s="253" t="s">
        <v>96</v>
      </c>
      <c r="D21" s="255">
        <v>0</v>
      </c>
      <c r="E21" s="258" t="s">
        <v>96</v>
      </c>
      <c r="F21" s="351"/>
      <c r="G21" s="352"/>
      <c r="H21" s="248">
        <v>0</v>
      </c>
      <c r="I21" s="253" t="s">
        <v>96</v>
      </c>
      <c r="J21" s="248">
        <v>0</v>
      </c>
      <c r="K21" s="253" t="s">
        <v>96</v>
      </c>
      <c r="L21" s="255">
        <v>1</v>
      </c>
      <c r="M21" s="256" t="s">
        <v>97</v>
      </c>
      <c r="N21" s="248">
        <v>0</v>
      </c>
      <c r="O21" s="253" t="s">
        <v>96</v>
      </c>
      <c r="P21" s="255">
        <v>0</v>
      </c>
      <c r="Q21" s="258" t="s">
        <v>96</v>
      </c>
      <c r="R21" s="248">
        <v>0</v>
      </c>
      <c r="S21" s="253" t="s">
        <v>96</v>
      </c>
      <c r="T21" s="255">
        <v>0</v>
      </c>
      <c r="U21" s="258" t="s">
        <v>96</v>
      </c>
      <c r="V21" s="351"/>
      <c r="W21" s="352"/>
      <c r="X21" s="255">
        <v>0</v>
      </c>
      <c r="Y21" s="258" t="s">
        <v>96</v>
      </c>
      <c r="Z21" s="248">
        <v>0</v>
      </c>
      <c r="AA21" s="253" t="s">
        <v>96</v>
      </c>
      <c r="AB21" s="255">
        <v>0</v>
      </c>
      <c r="AC21" s="258" t="s">
        <v>96</v>
      </c>
      <c r="AD21" s="255">
        <v>0</v>
      </c>
      <c r="AE21" s="258" t="s">
        <v>96</v>
      </c>
      <c r="AF21" s="248"/>
      <c r="AG21" s="254"/>
      <c r="AH21" s="248"/>
      <c r="AI21" s="254"/>
      <c r="AJ21" s="248"/>
      <c r="AK21" s="254"/>
      <c r="AL21" s="271">
        <f t="shared" si="0"/>
        <v>1</v>
      </c>
    </row>
    <row r="22" spans="1:51" ht="14.95" customHeight="1" x14ac:dyDescent="0.25">
      <c r="A22" s="252" t="s">
        <v>540</v>
      </c>
      <c r="B22" s="248">
        <v>1</v>
      </c>
      <c r="C22" s="254" t="s">
        <v>97</v>
      </c>
      <c r="D22" s="255">
        <v>4</v>
      </c>
      <c r="E22" s="256" t="s">
        <v>93</v>
      </c>
      <c r="F22" s="255">
        <v>3</v>
      </c>
      <c r="G22" s="256" t="s">
        <v>413</v>
      </c>
      <c r="H22" s="259"/>
      <c r="I22" s="583"/>
      <c r="J22" s="255">
        <v>5</v>
      </c>
      <c r="K22" s="256" t="s">
        <v>95</v>
      </c>
      <c r="L22" s="248">
        <v>0</v>
      </c>
      <c r="M22" s="253" t="s">
        <v>96</v>
      </c>
      <c r="N22" s="248">
        <v>5</v>
      </c>
      <c r="O22" s="253" t="s">
        <v>95</v>
      </c>
      <c r="P22" s="255">
        <v>3</v>
      </c>
      <c r="Q22" s="256" t="s">
        <v>413</v>
      </c>
      <c r="R22" s="248">
        <v>1</v>
      </c>
      <c r="S22" s="254" t="s">
        <v>97</v>
      </c>
      <c r="T22" s="259"/>
      <c r="U22" s="583"/>
      <c r="V22" s="248">
        <v>0</v>
      </c>
      <c r="W22" s="253" t="s">
        <v>96</v>
      </c>
      <c r="X22" s="255">
        <v>1</v>
      </c>
      <c r="Y22" s="256" t="s">
        <v>94</v>
      </c>
      <c r="Z22" s="248">
        <v>2</v>
      </c>
      <c r="AA22" s="254" t="s">
        <v>204</v>
      </c>
      <c r="AB22" s="255">
        <v>5</v>
      </c>
      <c r="AC22" s="256" t="s">
        <v>95</v>
      </c>
      <c r="AD22" s="255">
        <v>2</v>
      </c>
      <c r="AE22" s="258" t="s">
        <v>204</v>
      </c>
      <c r="AF22" s="255"/>
      <c r="AG22" s="256"/>
      <c r="AH22" s="255"/>
      <c r="AI22" s="256"/>
      <c r="AJ22" s="255"/>
      <c r="AK22" s="256"/>
      <c r="AL22" s="271">
        <f t="shared" si="0"/>
        <v>32</v>
      </c>
    </row>
    <row r="23" spans="1:51" ht="14.95" customHeight="1" x14ac:dyDescent="0.25">
      <c r="A23" s="252" t="s">
        <v>62</v>
      </c>
      <c r="B23" s="255">
        <v>5</v>
      </c>
      <c r="C23" s="256" t="s">
        <v>95</v>
      </c>
      <c r="D23" s="248">
        <v>1</v>
      </c>
      <c r="E23" s="254" t="s">
        <v>94</v>
      </c>
      <c r="F23" s="255">
        <v>1</v>
      </c>
      <c r="G23" s="256" t="s">
        <v>97</v>
      </c>
      <c r="H23" s="248">
        <v>1</v>
      </c>
      <c r="I23" s="254" t="s">
        <v>97</v>
      </c>
      <c r="J23" s="255">
        <v>3</v>
      </c>
      <c r="K23" s="256" t="s">
        <v>413</v>
      </c>
      <c r="L23" s="351"/>
      <c r="M23" s="352"/>
      <c r="N23" s="248">
        <v>1</v>
      </c>
      <c r="O23" s="254" t="s">
        <v>94</v>
      </c>
      <c r="P23" s="255">
        <v>0</v>
      </c>
      <c r="Q23" s="258" t="s">
        <v>96</v>
      </c>
      <c r="R23" s="248">
        <v>2</v>
      </c>
      <c r="S23" s="254" t="s">
        <v>204</v>
      </c>
      <c r="T23" s="255">
        <v>0</v>
      </c>
      <c r="U23" s="258" t="s">
        <v>96</v>
      </c>
      <c r="V23" s="248">
        <v>5</v>
      </c>
      <c r="W23" s="253" t="s">
        <v>95</v>
      </c>
      <c r="X23" s="255">
        <v>4</v>
      </c>
      <c r="Y23" s="256" t="s">
        <v>93</v>
      </c>
      <c r="Z23" s="255">
        <v>5</v>
      </c>
      <c r="AA23" s="258" t="s">
        <v>95</v>
      </c>
      <c r="AB23" s="248">
        <v>5</v>
      </c>
      <c r="AC23" s="254" t="s">
        <v>95</v>
      </c>
      <c r="AD23" s="255">
        <v>4</v>
      </c>
      <c r="AE23" s="256" t="s">
        <v>93</v>
      </c>
      <c r="AF23" s="248"/>
      <c r="AG23" s="254"/>
      <c r="AH23" s="248"/>
      <c r="AI23" s="254"/>
      <c r="AJ23" s="248"/>
      <c r="AK23" s="254"/>
      <c r="AL23" s="271">
        <f t="shared" si="0"/>
        <v>37</v>
      </c>
    </row>
    <row r="24" spans="1:51" ht="14.95" customHeight="1" x14ac:dyDescent="0.25">
      <c r="A24" s="252" t="s">
        <v>1</v>
      </c>
      <c r="B24" s="248">
        <v>0</v>
      </c>
      <c r="C24" s="253" t="s">
        <v>96</v>
      </c>
      <c r="D24" s="255">
        <v>5</v>
      </c>
      <c r="E24" s="256" t="s">
        <v>95</v>
      </c>
      <c r="F24" s="248">
        <v>5</v>
      </c>
      <c r="G24" s="253" t="s">
        <v>95</v>
      </c>
      <c r="H24" s="255">
        <v>5</v>
      </c>
      <c r="I24" s="256" t="s">
        <v>95</v>
      </c>
      <c r="J24" s="248">
        <v>5</v>
      </c>
      <c r="K24" s="253" t="s">
        <v>95</v>
      </c>
      <c r="L24" s="255">
        <v>5</v>
      </c>
      <c r="M24" s="256" t="s">
        <v>95</v>
      </c>
      <c r="N24" s="248">
        <v>5</v>
      </c>
      <c r="O24" s="253" t="s">
        <v>95</v>
      </c>
      <c r="P24" s="248">
        <v>5</v>
      </c>
      <c r="Q24" s="253" t="s">
        <v>95</v>
      </c>
      <c r="R24" s="259"/>
      <c r="S24" s="360"/>
      <c r="T24" s="248">
        <v>5</v>
      </c>
      <c r="U24" s="253" t="s">
        <v>95</v>
      </c>
      <c r="V24" s="255">
        <v>5</v>
      </c>
      <c r="W24" s="256" t="s">
        <v>95</v>
      </c>
      <c r="X24" s="255">
        <v>5</v>
      </c>
      <c r="Y24" s="256" t="s">
        <v>95</v>
      </c>
      <c r="Z24" s="248">
        <v>5</v>
      </c>
      <c r="AA24" s="254" t="s">
        <v>95</v>
      </c>
      <c r="AB24" s="255">
        <v>1</v>
      </c>
      <c r="AC24" s="256" t="s">
        <v>94</v>
      </c>
      <c r="AD24" s="259"/>
      <c r="AE24" s="583"/>
      <c r="AF24" s="255"/>
      <c r="AG24" s="256"/>
      <c r="AH24" s="255"/>
      <c r="AI24" s="256"/>
      <c r="AJ24" s="255"/>
      <c r="AK24" s="256"/>
      <c r="AL24" s="271">
        <f t="shared" si="0"/>
        <v>56</v>
      </c>
    </row>
    <row r="25" spans="1:51" ht="14.95" customHeight="1" thickBot="1" x14ac:dyDescent="0.3">
      <c r="A25" s="260" t="s">
        <v>100</v>
      </c>
      <c r="B25" s="264">
        <v>0</v>
      </c>
      <c r="C25" s="266" t="s">
        <v>96</v>
      </c>
      <c r="D25" s="353"/>
      <c r="E25" s="586"/>
      <c r="F25" s="261">
        <v>5</v>
      </c>
      <c r="G25" s="262" t="s">
        <v>95</v>
      </c>
      <c r="H25" s="264">
        <v>5</v>
      </c>
      <c r="I25" s="266" t="s">
        <v>95</v>
      </c>
      <c r="J25" s="264">
        <v>0</v>
      </c>
      <c r="K25" s="266" t="s">
        <v>96</v>
      </c>
      <c r="L25" s="261">
        <v>2</v>
      </c>
      <c r="M25" s="263" t="s">
        <v>204</v>
      </c>
      <c r="N25" s="264">
        <v>5</v>
      </c>
      <c r="O25" s="266" t="s">
        <v>95</v>
      </c>
      <c r="P25" s="261">
        <v>3</v>
      </c>
      <c r="Q25" s="263" t="s">
        <v>413</v>
      </c>
      <c r="R25" s="264">
        <v>2</v>
      </c>
      <c r="S25" s="265" t="s">
        <v>204</v>
      </c>
      <c r="T25" s="261">
        <v>3</v>
      </c>
      <c r="U25" s="263" t="s">
        <v>413</v>
      </c>
      <c r="V25" s="264">
        <v>2</v>
      </c>
      <c r="W25" s="266" t="s">
        <v>204</v>
      </c>
      <c r="X25" s="261">
        <v>5</v>
      </c>
      <c r="Y25" s="262" t="s">
        <v>95</v>
      </c>
      <c r="Z25" s="353"/>
      <c r="AA25" s="586"/>
      <c r="AB25" s="261">
        <v>0</v>
      </c>
      <c r="AC25" s="262" t="s">
        <v>96</v>
      </c>
      <c r="AD25" s="261">
        <v>4</v>
      </c>
      <c r="AE25" s="263" t="s">
        <v>93</v>
      </c>
      <c r="AF25" s="261"/>
      <c r="AG25" s="263"/>
      <c r="AH25" s="261"/>
      <c r="AI25" s="263"/>
      <c r="AJ25" s="261"/>
      <c r="AK25" s="263"/>
      <c r="AL25" s="273">
        <f t="shared" si="0"/>
        <v>36</v>
      </c>
    </row>
    <row r="26" spans="1:51" ht="14.95" customHeight="1" x14ac:dyDescent="0.25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</row>
    <row r="27" spans="1:51" ht="25" customHeight="1" thickBot="1" x14ac:dyDescent="0.3">
      <c r="A27" s="268" t="s">
        <v>151</v>
      </c>
    </row>
    <row r="28" spans="1:51" ht="14.95" thickBot="1" x14ac:dyDescent="0.3">
      <c r="A28" s="1" t="s">
        <v>99</v>
      </c>
      <c r="B28" s="695" t="s">
        <v>467</v>
      </c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7"/>
      <c r="R28" s="702" t="s">
        <v>231</v>
      </c>
      <c r="S28" s="703"/>
      <c r="T28" s="703"/>
      <c r="U28" s="703"/>
      <c r="V28" s="703"/>
      <c r="W28" s="703"/>
      <c r="X28" s="703"/>
      <c r="Y28" s="703"/>
      <c r="Z28" s="703"/>
      <c r="AA28" s="703"/>
      <c r="AB28" s="703"/>
      <c r="AC28" s="703"/>
      <c r="AD28" s="703"/>
      <c r="AE28" s="703"/>
      <c r="AF28" s="703"/>
      <c r="AG28" s="704"/>
      <c r="AH28" s="462"/>
      <c r="AI28" s="462"/>
      <c r="AJ28" s="462"/>
      <c r="AK28" s="462"/>
      <c r="AL28" s="462"/>
      <c r="AM28" s="462"/>
      <c r="AN28" s="462"/>
      <c r="AO28" s="462"/>
      <c r="AP28" s="462"/>
      <c r="AQ28" s="462"/>
      <c r="AR28" s="462"/>
      <c r="AS28" s="462"/>
      <c r="AT28" s="462"/>
      <c r="AU28" s="462"/>
      <c r="AV28" s="462"/>
      <c r="AW28" s="462"/>
      <c r="AX28" s="462"/>
      <c r="AY28" s="462"/>
    </row>
    <row r="29" spans="1:51" x14ac:dyDescent="0.25">
      <c r="A29" s="245" t="s">
        <v>90</v>
      </c>
      <c r="B29" s="698">
        <v>12</v>
      </c>
      <c r="C29" s="700"/>
      <c r="D29" s="698">
        <v>13</v>
      </c>
      <c r="E29" s="699"/>
      <c r="F29" s="698">
        <v>14</v>
      </c>
      <c r="G29" s="700"/>
      <c r="H29" s="698">
        <v>15</v>
      </c>
      <c r="I29" s="700"/>
      <c r="J29" s="698">
        <v>16</v>
      </c>
      <c r="K29" s="699"/>
      <c r="L29" s="700" t="s">
        <v>208</v>
      </c>
      <c r="M29" s="709"/>
      <c r="N29" s="698">
        <v>17</v>
      </c>
      <c r="O29" s="700"/>
      <c r="P29" s="698">
        <v>18</v>
      </c>
      <c r="Q29" s="699"/>
      <c r="R29" s="698">
        <v>1</v>
      </c>
      <c r="S29" s="699"/>
      <c r="T29" s="698">
        <v>2</v>
      </c>
      <c r="U29" s="700"/>
      <c r="V29" s="698">
        <v>3</v>
      </c>
      <c r="W29" s="700"/>
      <c r="X29" s="698">
        <v>4</v>
      </c>
      <c r="Y29" s="700"/>
      <c r="Z29" s="698">
        <v>5</v>
      </c>
      <c r="AA29" s="700"/>
      <c r="AB29" s="698">
        <v>6</v>
      </c>
      <c r="AC29" s="700"/>
      <c r="AD29" s="698">
        <v>7</v>
      </c>
      <c r="AE29" s="699"/>
      <c r="AF29" s="698">
        <v>8</v>
      </c>
      <c r="AG29" s="699"/>
      <c r="AH29" s="269" t="s">
        <v>14</v>
      </c>
      <c r="AI29" s="414"/>
    </row>
    <row r="30" spans="1:51" x14ac:dyDescent="0.25">
      <c r="A30" s="247"/>
      <c r="B30" s="248" t="s">
        <v>91</v>
      </c>
      <c r="C30" s="250" t="s">
        <v>92</v>
      </c>
      <c r="D30" s="248" t="s">
        <v>91</v>
      </c>
      <c r="E30" s="250" t="s">
        <v>92</v>
      </c>
      <c r="F30" s="248" t="s">
        <v>91</v>
      </c>
      <c r="G30" s="250" t="s">
        <v>92</v>
      </c>
      <c r="H30" s="248" t="s">
        <v>91</v>
      </c>
      <c r="I30" s="250" t="s">
        <v>92</v>
      </c>
      <c r="J30" s="248" t="s">
        <v>91</v>
      </c>
      <c r="K30" s="250" t="s">
        <v>92</v>
      </c>
      <c r="L30" s="248" t="s">
        <v>91</v>
      </c>
      <c r="M30" s="250" t="s">
        <v>92</v>
      </c>
      <c r="N30" s="248" t="s">
        <v>91</v>
      </c>
      <c r="O30" s="250" t="s">
        <v>92</v>
      </c>
      <c r="P30" s="248" t="s">
        <v>91</v>
      </c>
      <c r="Q30" s="249" t="s">
        <v>92</v>
      </c>
      <c r="R30" s="248" t="s">
        <v>91</v>
      </c>
      <c r="S30" s="250" t="s">
        <v>92</v>
      </c>
      <c r="T30" s="248" t="s">
        <v>91</v>
      </c>
      <c r="U30" s="250" t="s">
        <v>92</v>
      </c>
      <c r="V30" s="248" t="s">
        <v>91</v>
      </c>
      <c r="W30" s="250" t="s">
        <v>92</v>
      </c>
      <c r="X30" s="248" t="s">
        <v>91</v>
      </c>
      <c r="Y30" s="250" t="s">
        <v>92</v>
      </c>
      <c r="Z30" s="248" t="s">
        <v>91</v>
      </c>
      <c r="AA30" s="250" t="s">
        <v>92</v>
      </c>
      <c r="AB30" s="248" t="s">
        <v>91</v>
      </c>
      <c r="AC30" s="250" t="s">
        <v>92</v>
      </c>
      <c r="AD30" s="248" t="s">
        <v>91</v>
      </c>
      <c r="AE30" s="250" t="s">
        <v>92</v>
      </c>
      <c r="AF30" s="248" t="s">
        <v>91</v>
      </c>
      <c r="AG30" s="250" t="s">
        <v>92</v>
      </c>
      <c r="AH30" s="270"/>
    </row>
    <row r="31" spans="1:51" x14ac:dyDescent="0.25">
      <c r="A31" s="252" t="s">
        <v>63</v>
      </c>
      <c r="B31" s="248">
        <v>5</v>
      </c>
      <c r="C31" s="254" t="s">
        <v>95</v>
      </c>
      <c r="D31" s="255">
        <v>5</v>
      </c>
      <c r="E31" s="258" t="s">
        <v>95</v>
      </c>
      <c r="F31" s="255">
        <v>5</v>
      </c>
      <c r="G31" s="256" t="s">
        <v>95</v>
      </c>
      <c r="H31" s="351"/>
      <c r="I31" s="352"/>
      <c r="J31" s="248">
        <v>5</v>
      </c>
      <c r="K31" s="254" t="s">
        <v>95</v>
      </c>
      <c r="L31" s="351"/>
      <c r="M31" s="352"/>
      <c r="N31" s="248">
        <v>5</v>
      </c>
      <c r="O31" s="254" t="s">
        <v>95</v>
      </c>
      <c r="P31" s="255">
        <v>5</v>
      </c>
      <c r="Q31" s="258" t="s">
        <v>95</v>
      </c>
      <c r="R31" s="255">
        <v>5</v>
      </c>
      <c r="S31" s="256" t="s">
        <v>95</v>
      </c>
      <c r="T31" s="248">
        <v>5</v>
      </c>
      <c r="U31" s="254" t="s">
        <v>95</v>
      </c>
      <c r="V31" s="248">
        <v>5</v>
      </c>
      <c r="W31" s="253" t="s">
        <v>95</v>
      </c>
      <c r="X31" s="255">
        <v>5</v>
      </c>
      <c r="Y31" s="258" t="s">
        <v>95</v>
      </c>
      <c r="Z31" s="248">
        <v>5</v>
      </c>
      <c r="AA31" s="253" t="s">
        <v>95</v>
      </c>
      <c r="AB31" s="255">
        <v>5</v>
      </c>
      <c r="AC31" s="258" t="s">
        <v>95</v>
      </c>
      <c r="AD31" s="259"/>
      <c r="AE31" s="360"/>
      <c r="AF31" s="248">
        <v>5</v>
      </c>
      <c r="AG31" s="253" t="s">
        <v>95</v>
      </c>
      <c r="AH31" s="271">
        <f t="shared" ref="AH31:AH39" si="1">SUM(B31+D31+F31+H31+J31+L31+N31+P31+R31+T31+V31+X31+Z31+AB31+AD31+AF31)</f>
        <v>65</v>
      </c>
    </row>
    <row r="32" spans="1:51" x14ac:dyDescent="0.25">
      <c r="A32" s="252" t="s">
        <v>1</v>
      </c>
      <c r="B32" s="248">
        <v>1</v>
      </c>
      <c r="C32" s="254" t="s">
        <v>94</v>
      </c>
      <c r="D32" s="666">
        <v>5</v>
      </c>
      <c r="E32" s="258" t="s">
        <v>95</v>
      </c>
      <c r="F32" s="351"/>
      <c r="G32" s="352"/>
      <c r="H32" s="248">
        <v>5</v>
      </c>
      <c r="I32" s="254" t="s">
        <v>95</v>
      </c>
      <c r="J32" s="248">
        <v>5</v>
      </c>
      <c r="K32" s="253" t="s">
        <v>95</v>
      </c>
      <c r="L32" s="259"/>
      <c r="M32" s="360"/>
      <c r="N32" s="255">
        <v>4</v>
      </c>
      <c r="O32" s="258" t="s">
        <v>93</v>
      </c>
      <c r="P32" s="255">
        <v>5</v>
      </c>
      <c r="Q32" s="258" t="s">
        <v>95</v>
      </c>
      <c r="R32" s="248">
        <v>0</v>
      </c>
      <c r="S32" s="253" t="s">
        <v>96</v>
      </c>
      <c r="T32" s="255">
        <v>5</v>
      </c>
      <c r="U32" s="256" t="s">
        <v>95</v>
      </c>
      <c r="V32" s="248">
        <v>5</v>
      </c>
      <c r="W32" s="254" t="s">
        <v>95</v>
      </c>
      <c r="X32" s="255">
        <v>5</v>
      </c>
      <c r="Y32" s="256" t="s">
        <v>95</v>
      </c>
      <c r="Z32" s="248">
        <v>5</v>
      </c>
      <c r="AA32" s="254" t="s">
        <v>95</v>
      </c>
      <c r="AB32" s="255">
        <v>5</v>
      </c>
      <c r="AC32" s="256" t="s">
        <v>95</v>
      </c>
      <c r="AD32" s="248">
        <v>5</v>
      </c>
      <c r="AE32" s="253" t="s">
        <v>95</v>
      </c>
      <c r="AF32" s="248">
        <v>5</v>
      </c>
      <c r="AG32" s="254" t="s">
        <v>95</v>
      </c>
      <c r="AH32" s="271">
        <f t="shared" si="1"/>
        <v>60</v>
      </c>
    </row>
    <row r="33" spans="1:42" x14ac:dyDescent="0.25">
      <c r="A33" s="252" t="s">
        <v>540</v>
      </c>
      <c r="B33" s="255">
        <v>5</v>
      </c>
      <c r="C33" s="258" t="s">
        <v>95</v>
      </c>
      <c r="D33" s="248">
        <v>0</v>
      </c>
      <c r="E33" s="254" t="s">
        <v>96</v>
      </c>
      <c r="F33" s="255">
        <v>1</v>
      </c>
      <c r="G33" s="256" t="s">
        <v>94</v>
      </c>
      <c r="H33" s="255">
        <v>5</v>
      </c>
      <c r="I33" s="256" t="s">
        <v>95</v>
      </c>
      <c r="J33" s="248">
        <v>5</v>
      </c>
      <c r="K33" s="253" t="s">
        <v>95</v>
      </c>
      <c r="L33" s="351"/>
      <c r="M33" s="352"/>
      <c r="N33" s="351"/>
      <c r="O33" s="361"/>
      <c r="P33" s="255">
        <v>5</v>
      </c>
      <c r="Q33" s="258" t="s">
        <v>95</v>
      </c>
      <c r="R33" s="248">
        <v>1</v>
      </c>
      <c r="S33" s="254" t="s">
        <v>97</v>
      </c>
      <c r="T33" s="255">
        <v>4</v>
      </c>
      <c r="U33" s="258" t="s">
        <v>93</v>
      </c>
      <c r="V33" s="255">
        <v>3</v>
      </c>
      <c r="W33" s="258" t="s">
        <v>413</v>
      </c>
      <c r="X33" s="259"/>
      <c r="Y33" s="583"/>
      <c r="Z33" s="255">
        <v>5</v>
      </c>
      <c r="AA33" s="258" t="s">
        <v>95</v>
      </c>
      <c r="AB33" s="248">
        <v>0</v>
      </c>
      <c r="AC33" s="254" t="s">
        <v>96</v>
      </c>
      <c r="AD33" s="248">
        <v>5</v>
      </c>
      <c r="AE33" s="254" t="s">
        <v>95</v>
      </c>
      <c r="AF33" s="255">
        <v>3</v>
      </c>
      <c r="AG33" s="258" t="s">
        <v>413</v>
      </c>
      <c r="AH33" s="271">
        <f t="shared" si="1"/>
        <v>42</v>
      </c>
    </row>
    <row r="34" spans="1:42" x14ac:dyDescent="0.25">
      <c r="A34" s="252" t="s">
        <v>0</v>
      </c>
      <c r="B34" s="248">
        <v>5</v>
      </c>
      <c r="C34" s="253" t="s">
        <v>95</v>
      </c>
      <c r="D34" s="351"/>
      <c r="E34" s="667"/>
      <c r="F34" s="248">
        <v>5</v>
      </c>
      <c r="G34" s="253" t="s">
        <v>95</v>
      </c>
      <c r="H34" s="255">
        <v>0</v>
      </c>
      <c r="I34" s="256" t="s">
        <v>96</v>
      </c>
      <c r="J34" s="248">
        <v>5</v>
      </c>
      <c r="K34" s="253" t="s">
        <v>95</v>
      </c>
      <c r="L34" s="351"/>
      <c r="M34" s="352"/>
      <c r="N34" s="255">
        <v>0</v>
      </c>
      <c r="O34" s="258" t="s">
        <v>96</v>
      </c>
      <c r="P34" s="248">
        <v>0</v>
      </c>
      <c r="Q34" s="253" t="s">
        <v>96</v>
      </c>
      <c r="R34" s="255">
        <v>5</v>
      </c>
      <c r="S34" s="256" t="s">
        <v>95</v>
      </c>
      <c r="T34" s="248">
        <v>0</v>
      </c>
      <c r="U34" s="253" t="s">
        <v>96</v>
      </c>
      <c r="V34" s="255">
        <v>2</v>
      </c>
      <c r="W34" s="256" t="s">
        <v>395</v>
      </c>
      <c r="X34" s="248">
        <v>1</v>
      </c>
      <c r="Y34" s="254" t="s">
        <v>97</v>
      </c>
      <c r="Z34" s="259"/>
      <c r="AA34" s="583"/>
      <c r="AB34" s="248">
        <v>5</v>
      </c>
      <c r="AC34" s="253" t="s">
        <v>95</v>
      </c>
      <c r="AD34" s="255">
        <v>5</v>
      </c>
      <c r="AE34" s="256" t="s">
        <v>95</v>
      </c>
      <c r="AF34" s="255">
        <v>5</v>
      </c>
      <c r="AG34" s="256" t="s">
        <v>95</v>
      </c>
      <c r="AH34" s="271">
        <f t="shared" si="1"/>
        <v>38</v>
      </c>
    </row>
    <row r="35" spans="1:42" x14ac:dyDescent="0.25">
      <c r="A35" s="252" t="s">
        <v>100</v>
      </c>
      <c r="B35" s="255">
        <v>2</v>
      </c>
      <c r="C35" s="256" t="s">
        <v>204</v>
      </c>
      <c r="D35" s="259"/>
      <c r="E35" s="431" t="s">
        <v>23</v>
      </c>
      <c r="F35" s="248">
        <v>2</v>
      </c>
      <c r="G35" s="254" t="s">
        <v>204</v>
      </c>
      <c r="H35" s="255">
        <v>5</v>
      </c>
      <c r="I35" s="258" t="s">
        <v>95</v>
      </c>
      <c r="J35" s="255">
        <v>0</v>
      </c>
      <c r="K35" s="256" t="s">
        <v>96</v>
      </c>
      <c r="L35" s="255">
        <v>5</v>
      </c>
      <c r="M35" s="256" t="s">
        <v>95</v>
      </c>
      <c r="N35" s="255">
        <v>2</v>
      </c>
      <c r="O35" s="258" t="s">
        <v>204</v>
      </c>
      <c r="P35" s="248">
        <v>2</v>
      </c>
      <c r="Q35" s="253" t="s">
        <v>204</v>
      </c>
      <c r="R35" s="255">
        <v>0</v>
      </c>
      <c r="S35" s="258" t="s">
        <v>96</v>
      </c>
      <c r="T35" s="351"/>
      <c r="U35" s="361"/>
      <c r="V35" s="248">
        <v>5</v>
      </c>
      <c r="W35" s="254" t="s">
        <v>95</v>
      </c>
      <c r="X35" s="255">
        <v>5</v>
      </c>
      <c r="Y35" s="258" t="s">
        <v>95</v>
      </c>
      <c r="Z35" s="255">
        <v>0</v>
      </c>
      <c r="AA35" s="258" t="s">
        <v>96</v>
      </c>
      <c r="AB35" s="248">
        <v>2</v>
      </c>
      <c r="AC35" s="254" t="s">
        <v>204</v>
      </c>
      <c r="AD35" s="255">
        <v>5</v>
      </c>
      <c r="AE35" s="258" t="s">
        <v>95</v>
      </c>
      <c r="AF35" s="248">
        <v>3</v>
      </c>
      <c r="AG35" s="253" t="s">
        <v>413</v>
      </c>
      <c r="AH35" s="271">
        <f t="shared" si="1"/>
        <v>38</v>
      </c>
    </row>
    <row r="36" spans="1:42" x14ac:dyDescent="0.25">
      <c r="A36" s="252" t="s">
        <v>52</v>
      </c>
      <c r="B36" s="259"/>
      <c r="C36" s="583"/>
      <c r="D36" s="255">
        <v>1</v>
      </c>
      <c r="E36" s="258" t="s">
        <v>97</v>
      </c>
      <c r="F36" s="248">
        <v>4</v>
      </c>
      <c r="G36" s="254" t="s">
        <v>93</v>
      </c>
      <c r="H36" s="255">
        <v>1</v>
      </c>
      <c r="I36" s="256" t="s">
        <v>94</v>
      </c>
      <c r="J36" s="255">
        <v>2</v>
      </c>
      <c r="K36" s="258" t="s">
        <v>204</v>
      </c>
      <c r="L36" s="248">
        <v>0</v>
      </c>
      <c r="M36" s="254" t="s">
        <v>96</v>
      </c>
      <c r="N36" s="248">
        <v>0</v>
      </c>
      <c r="O36" s="254" t="s">
        <v>96</v>
      </c>
      <c r="P36" s="248">
        <v>5</v>
      </c>
      <c r="Q36" s="253" t="s">
        <v>95</v>
      </c>
      <c r="R36" s="248">
        <v>5</v>
      </c>
      <c r="S36" s="254" t="s">
        <v>95</v>
      </c>
      <c r="T36" s="255">
        <v>1</v>
      </c>
      <c r="U36" s="256" t="s">
        <v>97</v>
      </c>
      <c r="V36" s="248">
        <v>3</v>
      </c>
      <c r="W36" s="254" t="s">
        <v>413</v>
      </c>
      <c r="X36" s="255">
        <v>5</v>
      </c>
      <c r="Y36" s="256" t="s">
        <v>95</v>
      </c>
      <c r="Z36" s="248">
        <v>3</v>
      </c>
      <c r="AA36" s="254" t="s">
        <v>413</v>
      </c>
      <c r="AB36" s="255">
        <v>5</v>
      </c>
      <c r="AC36" s="258" t="s">
        <v>95</v>
      </c>
      <c r="AD36" s="255">
        <v>0</v>
      </c>
      <c r="AE36" s="258" t="s">
        <v>96</v>
      </c>
      <c r="AF36" s="351"/>
      <c r="AG36" s="352"/>
      <c r="AH36" s="271">
        <f t="shared" si="1"/>
        <v>35</v>
      </c>
    </row>
    <row r="37" spans="1:42" x14ac:dyDescent="0.25">
      <c r="A37" s="252" t="s">
        <v>53</v>
      </c>
      <c r="B37" s="255">
        <v>0</v>
      </c>
      <c r="C37" s="258" t="s">
        <v>96</v>
      </c>
      <c r="D37" s="248">
        <v>5</v>
      </c>
      <c r="E37" s="253" t="s">
        <v>95</v>
      </c>
      <c r="F37" s="255">
        <v>5</v>
      </c>
      <c r="G37" s="258" t="s">
        <v>95</v>
      </c>
      <c r="H37" s="248">
        <v>2</v>
      </c>
      <c r="I37" s="254" t="s">
        <v>204</v>
      </c>
      <c r="J37" s="255">
        <v>1</v>
      </c>
      <c r="K37" s="256" t="s">
        <v>97</v>
      </c>
      <c r="L37" s="255">
        <v>5</v>
      </c>
      <c r="M37" s="258" t="s">
        <v>95</v>
      </c>
      <c r="N37" s="248">
        <v>4</v>
      </c>
      <c r="O37" s="253" t="s">
        <v>93</v>
      </c>
      <c r="P37" s="351"/>
      <c r="Q37" s="361"/>
      <c r="R37" s="351"/>
      <c r="S37" s="352"/>
      <c r="T37" s="255">
        <v>5</v>
      </c>
      <c r="U37" s="256" t="s">
        <v>95</v>
      </c>
      <c r="V37" s="255">
        <v>0</v>
      </c>
      <c r="W37" s="256" t="s">
        <v>96</v>
      </c>
      <c r="X37" s="248">
        <v>0</v>
      </c>
      <c r="Y37" s="254" t="s">
        <v>96</v>
      </c>
      <c r="Z37" s="255">
        <v>0</v>
      </c>
      <c r="AA37" s="256" t="s">
        <v>96</v>
      </c>
      <c r="AB37" s="248">
        <v>0</v>
      </c>
      <c r="AC37" s="254" t="s">
        <v>96</v>
      </c>
      <c r="AD37" s="255">
        <v>0</v>
      </c>
      <c r="AE37" s="256" t="s">
        <v>96</v>
      </c>
      <c r="AF37" s="248">
        <v>0</v>
      </c>
      <c r="AG37" s="253" t="s">
        <v>96</v>
      </c>
      <c r="AH37" s="271">
        <f t="shared" si="1"/>
        <v>27</v>
      </c>
    </row>
    <row r="38" spans="1:42" x14ac:dyDescent="0.25">
      <c r="A38" s="252" t="s">
        <v>62</v>
      </c>
      <c r="B38" s="248">
        <v>0</v>
      </c>
      <c r="C38" s="254" t="s">
        <v>96</v>
      </c>
      <c r="D38" s="259"/>
      <c r="E38" s="668" t="s">
        <v>23</v>
      </c>
      <c r="F38" s="255">
        <v>0</v>
      </c>
      <c r="G38" s="256" t="s">
        <v>96</v>
      </c>
      <c r="H38" s="248">
        <v>4</v>
      </c>
      <c r="I38" s="253" t="s">
        <v>93</v>
      </c>
      <c r="J38" s="351"/>
      <c r="K38" s="361"/>
      <c r="L38" s="248">
        <v>0</v>
      </c>
      <c r="M38" s="253" t="s">
        <v>96</v>
      </c>
      <c r="N38" s="255">
        <v>0</v>
      </c>
      <c r="O38" s="256" t="s">
        <v>96</v>
      </c>
      <c r="P38" s="248">
        <v>0</v>
      </c>
      <c r="Q38" s="253" t="s">
        <v>96</v>
      </c>
      <c r="R38" s="255">
        <v>5</v>
      </c>
      <c r="S38" s="258" t="s">
        <v>95</v>
      </c>
      <c r="T38" s="248">
        <v>1</v>
      </c>
      <c r="U38" s="254" t="s">
        <v>94</v>
      </c>
      <c r="V38" s="255">
        <v>1</v>
      </c>
      <c r="W38" s="258" t="s">
        <v>97</v>
      </c>
      <c r="X38" s="248">
        <v>1</v>
      </c>
      <c r="Y38" s="254" t="s">
        <v>97</v>
      </c>
      <c r="Z38" s="255">
        <v>3</v>
      </c>
      <c r="AA38" s="258" t="s">
        <v>413</v>
      </c>
      <c r="AB38" s="351"/>
      <c r="AC38" s="352"/>
      <c r="AD38" s="248">
        <v>1</v>
      </c>
      <c r="AE38" s="253" t="s">
        <v>94</v>
      </c>
      <c r="AF38" s="255">
        <v>0</v>
      </c>
      <c r="AG38" s="258" t="s">
        <v>96</v>
      </c>
      <c r="AH38" s="271">
        <f t="shared" si="1"/>
        <v>16</v>
      </c>
    </row>
    <row r="39" spans="1:42" ht="14.95" thickBot="1" x14ac:dyDescent="0.3">
      <c r="A39" s="260" t="s">
        <v>70</v>
      </c>
      <c r="B39" s="264">
        <v>5</v>
      </c>
      <c r="C39" s="266" t="s">
        <v>95</v>
      </c>
      <c r="D39" s="261">
        <v>0</v>
      </c>
      <c r="E39" s="262" t="s">
        <v>96</v>
      </c>
      <c r="F39" s="261">
        <v>1</v>
      </c>
      <c r="G39" s="263" t="s">
        <v>97</v>
      </c>
      <c r="H39" s="261">
        <v>0</v>
      </c>
      <c r="I39" s="262" t="s">
        <v>96</v>
      </c>
      <c r="J39" s="264">
        <v>0</v>
      </c>
      <c r="K39" s="266" t="s">
        <v>96</v>
      </c>
      <c r="L39" s="658"/>
      <c r="M39" s="659"/>
      <c r="N39" s="261">
        <v>5</v>
      </c>
      <c r="O39" s="262" t="s">
        <v>95</v>
      </c>
      <c r="P39" s="264">
        <v>1</v>
      </c>
      <c r="Q39" s="266" t="s">
        <v>94</v>
      </c>
      <c r="R39" s="261">
        <v>0</v>
      </c>
      <c r="S39" s="262" t="s">
        <v>96</v>
      </c>
      <c r="T39" s="264">
        <v>0</v>
      </c>
      <c r="U39" s="265" t="s">
        <v>96</v>
      </c>
      <c r="V39" s="353"/>
      <c r="W39" s="413"/>
      <c r="X39" s="261">
        <v>0</v>
      </c>
      <c r="Y39" s="262" t="s">
        <v>96</v>
      </c>
      <c r="Z39" s="261">
        <v>0</v>
      </c>
      <c r="AA39" s="262" t="s">
        <v>96</v>
      </c>
      <c r="AB39" s="264">
        <v>1</v>
      </c>
      <c r="AC39" s="265" t="s">
        <v>97</v>
      </c>
      <c r="AD39" s="261">
        <v>0</v>
      </c>
      <c r="AE39" s="262" t="s">
        <v>96</v>
      </c>
      <c r="AF39" s="264">
        <v>0</v>
      </c>
      <c r="AG39" s="265" t="s">
        <v>96</v>
      </c>
      <c r="AH39" s="273">
        <f t="shared" si="1"/>
        <v>13</v>
      </c>
    </row>
    <row r="40" spans="1:42" x14ac:dyDescent="0.25">
      <c r="A40" s="705"/>
      <c r="B40" s="705"/>
      <c r="C40" s="705"/>
      <c r="D40" s="705"/>
      <c r="E40" s="705"/>
      <c r="F40" s="705"/>
      <c r="G40" s="705"/>
      <c r="H40" s="705"/>
      <c r="I40" s="705"/>
      <c r="J40" s="705"/>
      <c r="K40" s="705"/>
      <c r="L40" s="705"/>
      <c r="M40" s="705"/>
      <c r="N40" s="705"/>
      <c r="O40" s="254"/>
      <c r="P40" s="272"/>
      <c r="Q40" s="256"/>
      <c r="R40" s="250"/>
      <c r="S40" s="254"/>
      <c r="T40" s="272"/>
      <c r="U40" s="256"/>
      <c r="V40" s="250"/>
      <c r="W40" s="254"/>
      <c r="X40" s="272"/>
      <c r="Y40" s="256"/>
      <c r="Z40" s="254"/>
      <c r="AA40" s="254"/>
      <c r="AB40" s="272"/>
      <c r="AC40" s="256"/>
      <c r="AD40" s="272"/>
      <c r="AE40" s="256"/>
      <c r="AF40" s="250"/>
      <c r="AG40" s="254"/>
      <c r="AH40" s="272"/>
      <c r="AI40" s="256"/>
      <c r="AJ40" s="250"/>
      <c r="AK40" s="254"/>
      <c r="AL40" s="250"/>
      <c r="AM40" s="254"/>
      <c r="AN40" s="272"/>
      <c r="AO40" s="256"/>
      <c r="AP40" s="274"/>
    </row>
    <row r="41" spans="1:42" ht="28.55" x14ac:dyDescent="0.25">
      <c r="A41" s="268" t="s">
        <v>228</v>
      </c>
    </row>
    <row r="42" spans="1:42" ht="14.95" thickBot="1" x14ac:dyDescent="0.3">
      <c r="A42" s="1" t="s">
        <v>99</v>
      </c>
    </row>
    <row r="43" spans="1:42" ht="14.95" thickBot="1" x14ac:dyDescent="0.3">
      <c r="B43" s="706" t="s">
        <v>231</v>
      </c>
      <c r="C43" s="707"/>
      <c r="D43" s="707"/>
      <c r="E43" s="707"/>
      <c r="F43" s="707"/>
      <c r="G43" s="707"/>
      <c r="H43" s="707"/>
      <c r="I43" s="707"/>
      <c r="J43" s="707"/>
      <c r="K43" s="707"/>
      <c r="L43" s="707"/>
      <c r="M43" s="707"/>
      <c r="N43" s="707"/>
      <c r="O43" s="707"/>
      <c r="P43" s="707"/>
      <c r="Q43" s="707"/>
      <c r="R43" s="707"/>
      <c r="S43" s="707"/>
      <c r="T43" s="707"/>
      <c r="U43" s="708"/>
    </row>
    <row r="44" spans="1:42" x14ac:dyDescent="0.25">
      <c r="A44" s="245" t="s">
        <v>90</v>
      </c>
      <c r="B44" s="698">
        <v>9</v>
      </c>
      <c r="C44" s="699"/>
      <c r="D44" s="700">
        <v>10</v>
      </c>
      <c r="E44" s="700"/>
      <c r="F44" s="698">
        <v>11</v>
      </c>
      <c r="G44" s="700"/>
      <c r="H44" s="698">
        <v>12</v>
      </c>
      <c r="I44" s="700"/>
      <c r="J44" s="698">
        <v>13</v>
      </c>
      <c r="K44" s="699"/>
      <c r="L44" s="698">
        <v>14</v>
      </c>
      <c r="M44" s="700"/>
      <c r="N44" s="698">
        <v>15</v>
      </c>
      <c r="O44" s="700"/>
      <c r="P44" s="698">
        <v>16</v>
      </c>
      <c r="Q44" s="699"/>
      <c r="R44" s="698">
        <v>17</v>
      </c>
      <c r="S44" s="700"/>
      <c r="T44" s="698">
        <v>18</v>
      </c>
      <c r="U44" s="699"/>
      <c r="V44" s="269" t="s">
        <v>14</v>
      </c>
    </row>
    <row r="45" spans="1:42" x14ac:dyDescent="0.25">
      <c r="A45" s="247"/>
      <c r="B45" s="248" t="s">
        <v>91</v>
      </c>
      <c r="C45" s="250" t="s">
        <v>92</v>
      </c>
      <c r="D45" s="248" t="s">
        <v>91</v>
      </c>
      <c r="E45" s="250" t="s">
        <v>92</v>
      </c>
      <c r="F45" s="248" t="s">
        <v>91</v>
      </c>
      <c r="G45" s="250" t="s">
        <v>92</v>
      </c>
      <c r="H45" s="248" t="s">
        <v>91</v>
      </c>
      <c r="I45" s="250" t="s">
        <v>92</v>
      </c>
      <c r="J45" s="248" t="s">
        <v>91</v>
      </c>
      <c r="K45" s="250" t="s">
        <v>92</v>
      </c>
      <c r="L45" s="248" t="s">
        <v>91</v>
      </c>
      <c r="M45" s="250" t="s">
        <v>92</v>
      </c>
      <c r="N45" s="248" t="s">
        <v>91</v>
      </c>
      <c r="O45" s="250" t="s">
        <v>92</v>
      </c>
      <c r="P45" s="248" t="s">
        <v>91</v>
      </c>
      <c r="Q45" s="250" t="s">
        <v>92</v>
      </c>
      <c r="R45" s="248" t="s">
        <v>91</v>
      </c>
      <c r="S45" s="250" t="s">
        <v>92</v>
      </c>
      <c r="T45" s="248" t="s">
        <v>91</v>
      </c>
      <c r="U45" s="250" t="s">
        <v>92</v>
      </c>
      <c r="V45" s="270"/>
    </row>
    <row r="46" spans="1:42" x14ac:dyDescent="0.25">
      <c r="A46" s="252" t="s">
        <v>63</v>
      </c>
      <c r="B46" s="255">
        <v>5</v>
      </c>
      <c r="C46" s="256" t="s">
        <v>95</v>
      </c>
      <c r="D46" s="248">
        <v>5</v>
      </c>
      <c r="E46" s="863" t="s">
        <v>95</v>
      </c>
      <c r="F46" s="255">
        <v>5</v>
      </c>
      <c r="G46" s="256" t="s">
        <v>95</v>
      </c>
      <c r="H46" s="259"/>
      <c r="I46" s="583"/>
      <c r="J46" s="255">
        <v>5</v>
      </c>
      <c r="K46" s="256" t="s">
        <v>95</v>
      </c>
      <c r="L46" s="248">
        <v>5</v>
      </c>
      <c r="M46" s="254" t="s">
        <v>95</v>
      </c>
      <c r="N46" s="248">
        <v>5</v>
      </c>
      <c r="O46" s="253" t="s">
        <v>95</v>
      </c>
      <c r="P46" s="255"/>
      <c r="Q46" s="256"/>
      <c r="R46" s="255"/>
      <c r="S46" s="256"/>
      <c r="T46" s="255"/>
      <c r="U46" s="256"/>
      <c r="V46" s="271">
        <f>SUM(B46+D46+F46+H46+J46+L46+N46+P46+R46+T46)</f>
        <v>30</v>
      </c>
    </row>
    <row r="47" spans="1:42" x14ac:dyDescent="0.25">
      <c r="A47" s="252" t="s">
        <v>62</v>
      </c>
      <c r="B47" s="248">
        <v>2</v>
      </c>
      <c r="C47" s="254" t="s">
        <v>204</v>
      </c>
      <c r="D47" s="255">
        <v>0</v>
      </c>
      <c r="E47" s="862" t="s">
        <v>96</v>
      </c>
      <c r="F47" s="248">
        <v>5</v>
      </c>
      <c r="G47" s="863" t="s">
        <v>95</v>
      </c>
      <c r="H47" s="255">
        <v>4</v>
      </c>
      <c r="I47" s="258" t="s">
        <v>93</v>
      </c>
      <c r="J47" s="255">
        <v>5</v>
      </c>
      <c r="K47" s="862" t="s">
        <v>95</v>
      </c>
      <c r="L47" s="248">
        <v>5</v>
      </c>
      <c r="M47" s="254" t="s">
        <v>95</v>
      </c>
      <c r="N47" s="255">
        <v>4</v>
      </c>
      <c r="O47" s="256" t="s">
        <v>93</v>
      </c>
      <c r="P47" s="248"/>
      <c r="Q47" s="254"/>
      <c r="R47" s="248"/>
      <c r="S47" s="254"/>
      <c r="T47" s="248"/>
      <c r="U47" s="254"/>
      <c r="V47" s="271">
        <f>SUM(B47+D47+F47+H47+J47+L47+N47+P47+R47+T47)</f>
        <v>25</v>
      </c>
    </row>
    <row r="48" spans="1:42" x14ac:dyDescent="0.25">
      <c r="A48" s="252" t="s">
        <v>52</v>
      </c>
      <c r="B48" s="255">
        <v>5</v>
      </c>
      <c r="C48" s="862" t="s">
        <v>95</v>
      </c>
      <c r="D48" s="248">
        <v>3</v>
      </c>
      <c r="E48" s="253" t="s">
        <v>413</v>
      </c>
      <c r="F48" s="255">
        <v>5</v>
      </c>
      <c r="G48" s="256" t="s">
        <v>95</v>
      </c>
      <c r="H48" s="248">
        <v>0</v>
      </c>
      <c r="I48" s="863" t="s">
        <v>96</v>
      </c>
      <c r="J48" s="248">
        <v>1</v>
      </c>
      <c r="K48" s="863" t="s">
        <v>97</v>
      </c>
      <c r="L48" s="255">
        <v>5</v>
      </c>
      <c r="M48" s="862" t="s">
        <v>95</v>
      </c>
      <c r="N48" s="248">
        <v>5</v>
      </c>
      <c r="O48" s="254" t="s">
        <v>95</v>
      </c>
      <c r="P48" s="248"/>
      <c r="Q48" s="254"/>
      <c r="R48" s="248"/>
      <c r="S48" s="254"/>
      <c r="T48" s="248"/>
      <c r="U48" s="254"/>
      <c r="V48" s="271">
        <f>SUM(B48+D48+F48+H48+J48+L48+N48+P48+R48+T48)</f>
        <v>24</v>
      </c>
    </row>
    <row r="49" spans="1:22" x14ac:dyDescent="0.25">
      <c r="A49" s="252" t="s">
        <v>1</v>
      </c>
      <c r="B49" s="259"/>
      <c r="C49" s="360"/>
      <c r="D49" s="248">
        <v>5</v>
      </c>
      <c r="E49" s="863" t="s">
        <v>95</v>
      </c>
      <c r="F49" s="255">
        <v>5</v>
      </c>
      <c r="G49" s="256" t="s">
        <v>95</v>
      </c>
      <c r="H49" s="255">
        <v>5</v>
      </c>
      <c r="I49" s="256" t="s">
        <v>95</v>
      </c>
      <c r="J49" s="248">
        <v>5</v>
      </c>
      <c r="K49" s="254" t="s">
        <v>95</v>
      </c>
      <c r="L49" s="255">
        <v>1</v>
      </c>
      <c r="M49" s="256" t="s">
        <v>94</v>
      </c>
      <c r="N49" s="259"/>
      <c r="O49" s="583"/>
      <c r="P49" s="255"/>
      <c r="Q49" s="256"/>
      <c r="R49" s="255"/>
      <c r="S49" s="256"/>
      <c r="T49" s="255"/>
      <c r="U49" s="256"/>
      <c r="V49" s="271">
        <f>SUM(B49+D49+F49+H49+J49+L49+N49+P49+R49+T49)</f>
        <v>21</v>
      </c>
    </row>
    <row r="50" spans="1:22" x14ac:dyDescent="0.25">
      <c r="A50" s="252" t="s">
        <v>53</v>
      </c>
      <c r="B50" s="255">
        <v>5</v>
      </c>
      <c r="C50" s="258" t="s">
        <v>95</v>
      </c>
      <c r="D50" s="255">
        <v>3</v>
      </c>
      <c r="E50" s="258" t="s">
        <v>413</v>
      </c>
      <c r="F50" s="248">
        <v>2</v>
      </c>
      <c r="G50" s="254" t="s">
        <v>204</v>
      </c>
      <c r="H50" s="248">
        <v>5</v>
      </c>
      <c r="I50" s="253" t="s">
        <v>95</v>
      </c>
      <c r="J50" s="255">
        <v>5</v>
      </c>
      <c r="K50" s="258" t="s">
        <v>95</v>
      </c>
      <c r="L50" s="351"/>
      <c r="M50" s="361"/>
      <c r="N50" s="248">
        <v>0</v>
      </c>
      <c r="O50" s="253" t="s">
        <v>96</v>
      </c>
      <c r="P50" s="248"/>
      <c r="Q50" s="254"/>
      <c r="R50" s="248"/>
      <c r="S50" s="254"/>
      <c r="T50" s="248"/>
      <c r="U50" s="254"/>
      <c r="V50" s="271">
        <f>SUM(B50+D50+F50+H50+J50+L50+N50+P50+R50+T50)</f>
        <v>20</v>
      </c>
    </row>
    <row r="51" spans="1:22" x14ac:dyDescent="0.25">
      <c r="A51" s="252" t="s">
        <v>100</v>
      </c>
      <c r="B51" s="255">
        <v>2</v>
      </c>
      <c r="C51" s="862" t="s">
        <v>204</v>
      </c>
      <c r="D51" s="248">
        <v>3</v>
      </c>
      <c r="E51" s="863" t="s">
        <v>413</v>
      </c>
      <c r="F51" s="255">
        <v>2</v>
      </c>
      <c r="G51" s="258" t="s">
        <v>204</v>
      </c>
      <c r="H51" s="248">
        <v>5</v>
      </c>
      <c r="I51" s="863" t="s">
        <v>95</v>
      </c>
      <c r="J51" s="351"/>
      <c r="K51" s="864"/>
      <c r="L51" s="248">
        <v>0</v>
      </c>
      <c r="M51" s="863" t="s">
        <v>96</v>
      </c>
      <c r="N51" s="248">
        <v>4</v>
      </c>
      <c r="O51" s="253" t="s">
        <v>93</v>
      </c>
      <c r="P51" s="248"/>
      <c r="Q51" s="863"/>
      <c r="R51" s="248"/>
      <c r="S51" s="863"/>
      <c r="T51" s="248"/>
      <c r="U51" s="863"/>
      <c r="V51" s="271">
        <f>SUM(B51+D51+F51+H51+J51+L51+N51+P51+R51+T51)</f>
        <v>16</v>
      </c>
    </row>
    <row r="52" spans="1:22" x14ac:dyDescent="0.25">
      <c r="A52" s="252" t="s">
        <v>0</v>
      </c>
      <c r="B52" s="248">
        <v>5</v>
      </c>
      <c r="C52" s="863" t="s">
        <v>95</v>
      </c>
      <c r="D52" s="255">
        <v>3</v>
      </c>
      <c r="E52" s="258" t="s">
        <v>413</v>
      </c>
      <c r="F52" s="248">
        <v>1</v>
      </c>
      <c r="G52" s="253" t="s">
        <v>97</v>
      </c>
      <c r="H52" s="248">
        <v>1</v>
      </c>
      <c r="I52" s="254" t="s">
        <v>94</v>
      </c>
      <c r="J52" s="255">
        <v>1</v>
      </c>
      <c r="K52" s="258" t="s">
        <v>97</v>
      </c>
      <c r="L52" s="248">
        <v>1</v>
      </c>
      <c r="M52" s="254" t="s">
        <v>97</v>
      </c>
      <c r="N52" s="255">
        <v>1</v>
      </c>
      <c r="O52" s="256" t="s">
        <v>94</v>
      </c>
      <c r="P52" s="255"/>
      <c r="Q52" s="256"/>
      <c r="R52" s="255"/>
      <c r="S52" s="256"/>
      <c r="T52" s="255"/>
      <c r="U52" s="256"/>
      <c r="V52" s="271">
        <f>SUM(B52+D52+F52+H52+J52+L52+N52+P52+R52+T52)</f>
        <v>13</v>
      </c>
    </row>
    <row r="53" spans="1:22" x14ac:dyDescent="0.25">
      <c r="A53" s="252" t="s">
        <v>540</v>
      </c>
      <c r="B53" s="248">
        <v>1</v>
      </c>
      <c r="C53" s="253" t="s">
        <v>97</v>
      </c>
      <c r="D53" s="259"/>
      <c r="E53" s="360"/>
      <c r="F53" s="248">
        <v>0</v>
      </c>
      <c r="G53" s="863" t="s">
        <v>96</v>
      </c>
      <c r="H53" s="255">
        <v>1</v>
      </c>
      <c r="I53" s="256" t="s">
        <v>94</v>
      </c>
      <c r="J53" s="248">
        <v>2</v>
      </c>
      <c r="K53" s="254" t="s">
        <v>204</v>
      </c>
      <c r="L53" s="255">
        <v>5</v>
      </c>
      <c r="M53" s="256" t="s">
        <v>95</v>
      </c>
      <c r="N53" s="255">
        <v>2</v>
      </c>
      <c r="O53" s="862" t="s">
        <v>204</v>
      </c>
      <c r="P53" s="255"/>
      <c r="Q53" s="256"/>
      <c r="R53" s="255"/>
      <c r="S53" s="256"/>
      <c r="T53" s="255"/>
      <c r="U53" s="256"/>
      <c r="V53" s="271">
        <f>SUM(B53+D53+F53+H53+J53+L53+N53+P53+R53+T53)</f>
        <v>11</v>
      </c>
    </row>
    <row r="54" spans="1:22" ht="14.95" thickBot="1" x14ac:dyDescent="0.3">
      <c r="A54" s="260" t="s">
        <v>70</v>
      </c>
      <c r="B54" s="261">
        <v>0</v>
      </c>
      <c r="C54" s="263" t="s">
        <v>96</v>
      </c>
      <c r="D54" s="264">
        <v>0</v>
      </c>
      <c r="E54" s="265" t="s">
        <v>96</v>
      </c>
      <c r="F54" s="353"/>
      <c r="G54" s="413"/>
      <c r="H54" s="264">
        <v>0</v>
      </c>
      <c r="I54" s="266" t="s">
        <v>96</v>
      </c>
      <c r="J54" s="261">
        <v>0</v>
      </c>
      <c r="K54" s="263" t="s">
        <v>96</v>
      </c>
      <c r="L54" s="264">
        <v>0</v>
      </c>
      <c r="M54" s="266" t="s">
        <v>96</v>
      </c>
      <c r="N54" s="264">
        <v>0</v>
      </c>
      <c r="O54" s="265" t="s">
        <v>96</v>
      </c>
      <c r="P54" s="261"/>
      <c r="Q54" s="263"/>
      <c r="R54" s="261"/>
      <c r="S54" s="263"/>
      <c r="T54" s="261"/>
      <c r="U54" s="263"/>
      <c r="V54" s="273">
        <f>SUM(B54+D54+F54+H54+J54+L54+N54+P54+R54+T54)</f>
        <v>0</v>
      </c>
    </row>
    <row r="55" spans="1:22" ht="16.3" x14ac:dyDescent="0.3">
      <c r="A55" s="475" t="s">
        <v>47</v>
      </c>
    </row>
  </sheetData>
  <sortState xmlns:xlrd2="http://schemas.microsoft.com/office/spreadsheetml/2017/richdata2" ref="A46:V54">
    <sortCondition descending="1" ref="V46:V54"/>
  </sortState>
  <mergeCells count="55">
    <mergeCell ref="A40:N40"/>
    <mergeCell ref="H15:I15"/>
    <mergeCell ref="J15:K15"/>
    <mergeCell ref="B43:U43"/>
    <mergeCell ref="N29:O29"/>
    <mergeCell ref="D29:E29"/>
    <mergeCell ref="R15:S15"/>
    <mergeCell ref="T15:U15"/>
    <mergeCell ref="B15:C15"/>
    <mergeCell ref="D15:E15"/>
    <mergeCell ref="F15:G15"/>
    <mergeCell ref="L29:M29"/>
    <mergeCell ref="B29:C29"/>
    <mergeCell ref="H29:I29"/>
    <mergeCell ref="J29:K29"/>
    <mergeCell ref="F29:G29"/>
    <mergeCell ref="L44:M44"/>
    <mergeCell ref="N44:O44"/>
    <mergeCell ref="P44:Q44"/>
    <mergeCell ref="R44:S44"/>
    <mergeCell ref="T44:U44"/>
    <mergeCell ref="B44:C44"/>
    <mergeCell ref="D44:E44"/>
    <mergeCell ref="F44:G44"/>
    <mergeCell ref="H44:I44"/>
    <mergeCell ref="J44:K44"/>
    <mergeCell ref="AD29:AE29"/>
    <mergeCell ref="AF29:AG29"/>
    <mergeCell ref="R28:AG28"/>
    <mergeCell ref="R29:S29"/>
    <mergeCell ref="T29:U29"/>
    <mergeCell ref="V29:W29"/>
    <mergeCell ref="X29:Y29"/>
    <mergeCell ref="Z29:AA29"/>
    <mergeCell ref="AB29:AC29"/>
    <mergeCell ref="AD15:AE15"/>
    <mergeCell ref="AF15:AG15"/>
    <mergeCell ref="AH15:AI15"/>
    <mergeCell ref="AJ15:AK15"/>
    <mergeCell ref="V15:W15"/>
    <mergeCell ref="X15:Y15"/>
    <mergeCell ref="Z15:AA15"/>
    <mergeCell ref="AB15:AC15"/>
    <mergeCell ref="B28:Q28"/>
    <mergeCell ref="N15:O15"/>
    <mergeCell ref="P15:Q15"/>
    <mergeCell ref="P29:Q29"/>
    <mergeCell ref="B1:C1"/>
    <mergeCell ref="F1:G1"/>
    <mergeCell ref="L15:M15"/>
    <mergeCell ref="D1:E1"/>
    <mergeCell ref="A12:N12"/>
    <mergeCell ref="H1:I1"/>
    <mergeCell ref="J1:K1"/>
    <mergeCell ref="L1:M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79"/>
  <sheetViews>
    <sheetView zoomScaleNormal="100" workbookViewId="0">
      <selection activeCell="R13" sqref="R13"/>
    </sheetView>
  </sheetViews>
  <sheetFormatPr defaultColWidth="8.75" defaultRowHeight="14.95" customHeight="1" x14ac:dyDescent="0.25"/>
  <cols>
    <col min="1" max="1" width="15.375" customWidth="1"/>
    <col min="2" max="2" width="5.5" bestFit="1" customWidth="1"/>
    <col min="3" max="3" width="15.375" customWidth="1"/>
    <col min="4" max="4" width="3.75" customWidth="1"/>
    <col min="5" max="5" width="15.375" customWidth="1"/>
    <col min="6" max="6" width="5" bestFit="1" customWidth="1"/>
    <col min="7" max="7" width="15.375" customWidth="1"/>
    <col min="8" max="8" width="3.75" customWidth="1"/>
    <col min="9" max="9" width="3" bestFit="1" customWidth="1"/>
    <col min="10" max="10" width="5.375" customWidth="1"/>
    <col min="11" max="13" width="5.5" customWidth="1"/>
    <col min="14" max="14" width="5.75" bestFit="1" customWidth="1"/>
    <col min="15" max="15" width="5.125" bestFit="1" customWidth="1"/>
    <col min="16" max="18" width="5.5" customWidth="1"/>
    <col min="19" max="19" width="5.75" bestFit="1" customWidth="1"/>
    <col min="20" max="20" width="5.875" bestFit="1" customWidth="1"/>
    <col min="21" max="21" width="5.5" customWidth="1"/>
    <col min="22" max="22" width="1.625" customWidth="1"/>
    <col min="23" max="23" width="6.75" bestFit="1" customWidth="1"/>
    <col min="24" max="26" width="5.5" customWidth="1"/>
    <col min="27" max="27" width="5.75" bestFit="1" customWidth="1"/>
    <col min="28" max="28" width="5.5" customWidth="1"/>
    <col min="29" max="29" width="7.75" bestFit="1" customWidth="1"/>
    <col min="30" max="33" width="5.5" customWidth="1"/>
    <col min="34" max="34" width="5.875" bestFit="1" customWidth="1"/>
    <col min="35" max="35" width="3.875" bestFit="1" customWidth="1"/>
  </cols>
  <sheetData>
    <row r="1" spans="1:35" ht="14.95" customHeight="1" thickBot="1" x14ac:dyDescent="0.3">
      <c r="A1" s="319" t="s">
        <v>217</v>
      </c>
      <c r="J1" s="319" t="s">
        <v>143</v>
      </c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W1" s="319" t="s">
        <v>144</v>
      </c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</row>
    <row r="2" spans="1:35" ht="14.95" customHeight="1" thickBot="1" x14ac:dyDescent="0.3">
      <c r="A2" s="14" t="s">
        <v>39</v>
      </c>
      <c r="B2" s="15"/>
      <c r="C2" s="16" t="s">
        <v>40</v>
      </c>
      <c r="D2" s="16"/>
      <c r="E2" s="17" t="s">
        <v>41</v>
      </c>
      <c r="F2" s="17"/>
      <c r="G2" s="18" t="s">
        <v>227</v>
      </c>
      <c r="H2" s="18"/>
      <c r="J2" s="14"/>
      <c r="K2" s="432" t="s">
        <v>168</v>
      </c>
      <c r="L2" s="385" t="s">
        <v>174</v>
      </c>
      <c r="M2" s="386" t="s">
        <v>175</v>
      </c>
      <c r="N2" s="386" t="s">
        <v>225</v>
      </c>
      <c r="O2" s="409" t="s">
        <v>82</v>
      </c>
      <c r="P2" s="388" t="s">
        <v>169</v>
      </c>
      <c r="Q2" s="388" t="s">
        <v>170</v>
      </c>
      <c r="R2" s="389" t="s">
        <v>171</v>
      </c>
      <c r="S2" s="389" t="s">
        <v>226</v>
      </c>
      <c r="T2" s="390" t="s">
        <v>83</v>
      </c>
      <c r="U2" s="391" t="s">
        <v>207</v>
      </c>
      <c r="W2" s="14"/>
      <c r="X2" s="385" t="s">
        <v>168</v>
      </c>
      <c r="Y2" s="433" t="s">
        <v>174</v>
      </c>
      <c r="Z2" s="386" t="s">
        <v>175</v>
      </c>
      <c r="AA2" s="386" t="s">
        <v>225</v>
      </c>
      <c r="AB2" s="387" t="s">
        <v>82</v>
      </c>
      <c r="AC2" s="661" t="s">
        <v>169</v>
      </c>
      <c r="AD2" s="388" t="s">
        <v>170</v>
      </c>
      <c r="AE2" s="389" t="s">
        <v>171</v>
      </c>
      <c r="AF2" s="713" t="s">
        <v>226</v>
      </c>
      <c r="AG2" s="714"/>
      <c r="AH2" s="390" t="s">
        <v>83</v>
      </c>
      <c r="AI2" s="390" t="s">
        <v>177</v>
      </c>
    </row>
    <row r="3" spans="1:35" ht="14.95" customHeight="1" thickBot="1" x14ac:dyDescent="0.3">
      <c r="A3" s="8" t="s">
        <v>1</v>
      </c>
      <c r="B3" s="7">
        <f>bthpremseasontotalstriesscored</f>
        <v>83</v>
      </c>
      <c r="C3" s="5" t="s">
        <v>63</v>
      </c>
      <c r="D3" s="6">
        <f>gloucesterpremtrybonusscored</f>
        <v>13</v>
      </c>
      <c r="E3" s="9" t="s">
        <v>1</v>
      </c>
      <c r="F3" s="10">
        <f>bthpremseasontotalstriesconceded</f>
        <v>34</v>
      </c>
      <c r="G3" s="11" t="s">
        <v>1</v>
      </c>
      <c r="H3" s="12">
        <f>bathtrybonusconceded</f>
        <v>4</v>
      </c>
      <c r="J3" s="419" t="s">
        <v>178</v>
      </c>
      <c r="K3" s="392">
        <v>8</v>
      </c>
      <c r="L3" s="393">
        <v>8</v>
      </c>
      <c r="M3" s="394">
        <v>12</v>
      </c>
      <c r="N3" s="395">
        <v>4</v>
      </c>
      <c r="O3" s="396">
        <f t="shared" ref="O3:O11" si="0">SUM(K3:N3)</f>
        <v>32</v>
      </c>
      <c r="P3" s="397">
        <v>4</v>
      </c>
      <c r="Q3" s="398">
        <v>11</v>
      </c>
      <c r="R3" s="399">
        <v>3</v>
      </c>
      <c r="S3" s="400">
        <v>5</v>
      </c>
      <c r="T3" s="401">
        <f t="shared" ref="T3:T11" si="1">SUM(P3:S3)</f>
        <v>23</v>
      </c>
      <c r="U3" s="402">
        <f t="shared" ref="U3:U11" si="2">SUM(O3+T3)</f>
        <v>55</v>
      </c>
      <c r="W3" s="403"/>
      <c r="X3" s="404" t="s">
        <v>145</v>
      </c>
      <c r="Y3" s="404" t="s">
        <v>145</v>
      </c>
      <c r="Z3" s="405" t="s">
        <v>145</v>
      </c>
      <c r="AA3" s="405" t="s">
        <v>145</v>
      </c>
      <c r="AB3" s="406" t="s">
        <v>43</v>
      </c>
      <c r="AC3" s="407" t="s">
        <v>145</v>
      </c>
      <c r="AD3" s="407" t="s">
        <v>145</v>
      </c>
      <c r="AE3" s="408" t="s">
        <v>145</v>
      </c>
      <c r="AF3" s="408" t="s">
        <v>145</v>
      </c>
      <c r="AG3" s="408" t="s">
        <v>176</v>
      </c>
      <c r="AH3" s="390"/>
      <c r="AI3" s="390"/>
    </row>
    <row r="4" spans="1:35" ht="14.95" customHeight="1" thickBot="1" x14ac:dyDescent="0.3">
      <c r="A4" s="8" t="s">
        <v>63</v>
      </c>
      <c r="B4" s="7">
        <f>gloucesterpremseasontotalstriesscored</f>
        <v>83</v>
      </c>
      <c r="C4" s="5" t="s">
        <v>4</v>
      </c>
      <c r="D4" s="6">
        <f>exeterpremtrybonusscored</f>
        <v>12</v>
      </c>
      <c r="E4" s="9" t="s">
        <v>63</v>
      </c>
      <c r="F4" s="10">
        <f>gloucesterpremseasontotalstriesconceded</f>
        <v>44</v>
      </c>
      <c r="G4" s="11" t="s">
        <v>4</v>
      </c>
      <c r="H4" s="12">
        <f>exeterpremtrybonusconc</f>
        <v>7</v>
      </c>
      <c r="J4" s="8" t="s">
        <v>179</v>
      </c>
      <c r="K4" s="392">
        <v>4</v>
      </c>
      <c r="L4" s="393">
        <v>11</v>
      </c>
      <c r="M4" s="394">
        <v>9</v>
      </c>
      <c r="N4" s="395">
        <v>12</v>
      </c>
      <c r="O4" s="396">
        <f t="shared" si="0"/>
        <v>36</v>
      </c>
      <c r="P4" s="397">
        <v>7</v>
      </c>
      <c r="Q4" s="398">
        <v>5</v>
      </c>
      <c r="R4" s="399">
        <v>9</v>
      </c>
      <c r="S4" s="400">
        <v>8</v>
      </c>
      <c r="T4" s="401">
        <f t="shared" si="1"/>
        <v>29</v>
      </c>
      <c r="U4" s="402">
        <f t="shared" si="2"/>
        <v>65</v>
      </c>
      <c r="W4" s="419" t="s">
        <v>178</v>
      </c>
      <c r="X4" s="392"/>
      <c r="Y4" s="393"/>
      <c r="Z4" s="394">
        <v>2</v>
      </c>
      <c r="AA4" s="395">
        <v>1</v>
      </c>
      <c r="AB4" s="396">
        <f>SUM(X4:AA4)</f>
        <v>3</v>
      </c>
      <c r="AC4" s="397"/>
      <c r="AD4" s="398">
        <v>2</v>
      </c>
      <c r="AE4" s="399">
        <v>1</v>
      </c>
      <c r="AF4" s="399"/>
      <c r="AG4" s="400">
        <v>1</v>
      </c>
      <c r="AH4" s="401">
        <f t="shared" ref="AH4:AH12" si="3">SUM(AC4:AG4)</f>
        <v>4</v>
      </c>
      <c r="AI4" s="401">
        <f>SUM(AB4:AF4)</f>
        <v>6</v>
      </c>
    </row>
    <row r="5" spans="1:35" ht="14.95" customHeight="1" thickBot="1" x14ac:dyDescent="0.3">
      <c r="A5" s="8" t="s">
        <v>4</v>
      </c>
      <c r="B5" s="7">
        <f>Exepremtotalstriesscored</f>
        <v>65</v>
      </c>
      <c r="C5" s="5" t="s">
        <v>1</v>
      </c>
      <c r="D5" s="6">
        <f>bathtrybonus</f>
        <v>11</v>
      </c>
      <c r="E5" s="9" t="s">
        <v>4</v>
      </c>
      <c r="F5" s="10">
        <f>Exepremtotalstriesconceded</f>
        <v>49</v>
      </c>
      <c r="G5" s="11" t="s">
        <v>63</v>
      </c>
      <c r="H5" s="12">
        <f>gloucesterpremtrybonusconc</f>
        <v>8</v>
      </c>
      <c r="J5" s="8" t="s">
        <v>180</v>
      </c>
      <c r="K5" s="392">
        <v>11</v>
      </c>
      <c r="L5" s="393">
        <v>11</v>
      </c>
      <c r="M5" s="394">
        <v>13</v>
      </c>
      <c r="N5" s="395">
        <v>8</v>
      </c>
      <c r="O5" s="396">
        <f t="shared" si="0"/>
        <v>43</v>
      </c>
      <c r="P5" s="397">
        <v>9</v>
      </c>
      <c r="Q5" s="398">
        <v>10</v>
      </c>
      <c r="R5" s="399">
        <v>11</v>
      </c>
      <c r="S5" s="400">
        <v>10</v>
      </c>
      <c r="T5" s="401">
        <f t="shared" si="1"/>
        <v>40</v>
      </c>
      <c r="U5" s="402">
        <f t="shared" si="2"/>
        <v>83</v>
      </c>
      <c r="W5" s="8" t="s">
        <v>179</v>
      </c>
      <c r="X5" s="392"/>
      <c r="Y5" s="393"/>
      <c r="Z5" s="394">
        <v>1</v>
      </c>
      <c r="AA5" s="395">
        <v>2</v>
      </c>
      <c r="AB5" s="396">
        <f t="shared" ref="AB5:AB12" si="4">SUM(X5:AA5)</f>
        <v>3</v>
      </c>
      <c r="AC5" s="397">
        <v>4</v>
      </c>
      <c r="AD5" s="398"/>
      <c r="AE5" s="399">
        <v>2</v>
      </c>
      <c r="AF5" s="399">
        <v>3</v>
      </c>
      <c r="AG5" s="400"/>
      <c r="AH5" s="401">
        <f t="shared" si="3"/>
        <v>9</v>
      </c>
      <c r="AI5" s="401">
        <f t="shared" ref="AI5:AI12" si="5">SUM(AB5:AF5)</f>
        <v>12</v>
      </c>
    </row>
    <row r="6" spans="1:35" ht="14.95" customHeight="1" thickBot="1" x14ac:dyDescent="0.3">
      <c r="A6" s="8" t="s">
        <v>0</v>
      </c>
      <c r="B6" s="7">
        <f>harlequinspwrseasontotalstriesscored</f>
        <v>64</v>
      </c>
      <c r="C6" s="5" t="s">
        <v>0</v>
      </c>
      <c r="D6" s="6">
        <f>HARLEQUINSPWRTBSCORED</f>
        <v>10</v>
      </c>
      <c r="E6" s="9" t="s">
        <v>62</v>
      </c>
      <c r="F6" s="10">
        <f>SALEPWRTRIESCONC</f>
        <v>56</v>
      </c>
      <c r="G6" s="11" t="s">
        <v>49</v>
      </c>
      <c r="H6" s="12">
        <f>bsttrybonusconceded</f>
        <v>9</v>
      </c>
      <c r="J6" s="8" t="s">
        <v>181</v>
      </c>
      <c r="K6" s="392">
        <v>4</v>
      </c>
      <c r="L6" s="393">
        <v>8</v>
      </c>
      <c r="M6" s="394">
        <v>7</v>
      </c>
      <c r="N6" s="395">
        <v>11</v>
      </c>
      <c r="O6" s="396">
        <f t="shared" si="0"/>
        <v>30</v>
      </c>
      <c r="P6" s="397">
        <v>8</v>
      </c>
      <c r="Q6" s="398">
        <v>6</v>
      </c>
      <c r="R6" s="399">
        <v>8</v>
      </c>
      <c r="S6" s="400">
        <v>12</v>
      </c>
      <c r="T6" s="401">
        <f t="shared" si="1"/>
        <v>34</v>
      </c>
      <c r="U6" s="402">
        <f t="shared" si="2"/>
        <v>64</v>
      </c>
      <c r="W6" s="8" t="s">
        <v>180</v>
      </c>
      <c r="X6" s="392"/>
      <c r="Y6" s="393"/>
      <c r="Z6" s="394">
        <v>3</v>
      </c>
      <c r="AA6" s="395">
        <v>1</v>
      </c>
      <c r="AB6" s="396">
        <f t="shared" si="4"/>
        <v>4</v>
      </c>
      <c r="AC6" s="397">
        <v>3</v>
      </c>
      <c r="AD6" s="398">
        <v>4</v>
      </c>
      <c r="AE6" s="399">
        <v>1</v>
      </c>
      <c r="AF6" s="399">
        <v>1</v>
      </c>
      <c r="AG6" s="400"/>
      <c r="AH6" s="401">
        <f t="shared" si="3"/>
        <v>9</v>
      </c>
      <c r="AI6" s="401">
        <f t="shared" si="5"/>
        <v>13</v>
      </c>
    </row>
    <row r="7" spans="1:35" ht="14.95" customHeight="1" thickBot="1" x14ac:dyDescent="0.3">
      <c r="A7" s="8" t="s">
        <v>100</v>
      </c>
      <c r="B7" s="7">
        <f>EALINGPWRTRIESSCORED</f>
        <v>61</v>
      </c>
      <c r="C7" s="5" t="s">
        <v>540</v>
      </c>
      <c r="D7" s="6">
        <f>LOUGHBOROUGHPWRTBSCORED</f>
        <v>9</v>
      </c>
      <c r="E7" s="9" t="s">
        <v>49</v>
      </c>
      <c r="F7" s="10">
        <f>Bristolpremseasontotalstriesconceded</f>
        <v>57</v>
      </c>
      <c r="G7" s="11" t="s">
        <v>62</v>
      </c>
      <c r="H7" s="12">
        <f>SALEPWRTBCONC</f>
        <v>9</v>
      </c>
      <c r="J7" s="8" t="s">
        <v>182</v>
      </c>
      <c r="K7" s="392">
        <v>3</v>
      </c>
      <c r="L7" s="393">
        <v>2</v>
      </c>
      <c r="M7" s="394">
        <v>2</v>
      </c>
      <c r="N7" s="395">
        <v>2</v>
      </c>
      <c r="O7" s="396">
        <f t="shared" si="0"/>
        <v>9</v>
      </c>
      <c r="P7" s="397">
        <v>1</v>
      </c>
      <c r="Q7" s="398"/>
      <c r="R7" s="399">
        <v>4</v>
      </c>
      <c r="S7" s="400">
        <v>4</v>
      </c>
      <c r="T7" s="401">
        <f t="shared" si="1"/>
        <v>9</v>
      </c>
      <c r="U7" s="402">
        <f t="shared" si="2"/>
        <v>18</v>
      </c>
      <c r="W7" s="8" t="s">
        <v>181</v>
      </c>
      <c r="X7" s="392"/>
      <c r="Y7" s="393"/>
      <c r="Z7" s="394"/>
      <c r="AA7" s="395">
        <v>2</v>
      </c>
      <c r="AB7" s="396">
        <f t="shared" si="4"/>
        <v>2</v>
      </c>
      <c r="AC7" s="397">
        <v>2</v>
      </c>
      <c r="AD7" s="398">
        <v>1</v>
      </c>
      <c r="AE7" s="399">
        <v>3</v>
      </c>
      <c r="AF7" s="399">
        <v>2</v>
      </c>
      <c r="AG7" s="400">
        <v>4</v>
      </c>
      <c r="AH7" s="401">
        <f t="shared" si="3"/>
        <v>12</v>
      </c>
      <c r="AI7" s="401">
        <f t="shared" si="5"/>
        <v>10</v>
      </c>
    </row>
    <row r="8" spans="1:35" ht="14.95" customHeight="1" thickBot="1" x14ac:dyDescent="0.3">
      <c r="A8" s="8" t="s">
        <v>540</v>
      </c>
      <c r="B8" s="7">
        <f>LOUGHBOROUGHPWRTRIESSCORED</f>
        <v>59</v>
      </c>
      <c r="C8" s="5" t="s">
        <v>62</v>
      </c>
      <c r="D8" s="6">
        <f>SALEPWRTBSCORED</f>
        <v>8</v>
      </c>
      <c r="E8" s="9" t="s">
        <v>100</v>
      </c>
      <c r="F8" s="10">
        <f>EALINGPWRTRIESCONC</f>
        <v>59</v>
      </c>
      <c r="G8" s="11" t="s">
        <v>100</v>
      </c>
      <c r="H8" s="12">
        <f>EALINGPWRTBCONC</f>
        <v>9</v>
      </c>
      <c r="J8" s="8" t="s">
        <v>183</v>
      </c>
      <c r="K8" s="392">
        <v>4</v>
      </c>
      <c r="L8" s="393">
        <v>9</v>
      </c>
      <c r="M8" s="394">
        <v>7</v>
      </c>
      <c r="N8" s="395">
        <v>9</v>
      </c>
      <c r="O8" s="396">
        <f t="shared" si="0"/>
        <v>29</v>
      </c>
      <c r="P8" s="397">
        <v>8</v>
      </c>
      <c r="Q8" s="398">
        <v>8</v>
      </c>
      <c r="R8" s="399">
        <v>5</v>
      </c>
      <c r="S8" s="400">
        <v>9</v>
      </c>
      <c r="T8" s="401">
        <f t="shared" si="1"/>
        <v>30</v>
      </c>
      <c r="U8" s="402">
        <f t="shared" si="2"/>
        <v>59</v>
      </c>
      <c r="W8" s="8" t="s">
        <v>182</v>
      </c>
      <c r="X8" s="392"/>
      <c r="Y8" s="393"/>
      <c r="Z8" s="394"/>
      <c r="AA8" s="395"/>
      <c r="AB8" s="396">
        <f t="shared" si="4"/>
        <v>0</v>
      </c>
      <c r="AC8" s="397"/>
      <c r="AD8" s="398"/>
      <c r="AE8" s="399">
        <v>1</v>
      </c>
      <c r="AF8" s="399"/>
      <c r="AG8" s="400"/>
      <c r="AH8" s="401">
        <f t="shared" si="3"/>
        <v>1</v>
      </c>
      <c r="AI8" s="401">
        <f t="shared" si="5"/>
        <v>1</v>
      </c>
    </row>
    <row r="9" spans="1:35" ht="14.95" customHeight="1" thickBot="1" x14ac:dyDescent="0.3">
      <c r="A9" s="8" t="s">
        <v>62</v>
      </c>
      <c r="B9" s="7">
        <f>SALEPWRTRIESSCORED</f>
        <v>58</v>
      </c>
      <c r="C9" s="5" t="s">
        <v>100</v>
      </c>
      <c r="D9" s="6">
        <f>EALINGPWRTBFOR</f>
        <v>9</v>
      </c>
      <c r="E9" s="9" t="s">
        <v>540</v>
      </c>
      <c r="F9" s="10">
        <f>LOUGHBOROUGHPWRTRIESCONC</f>
        <v>62</v>
      </c>
      <c r="G9" s="11" t="s">
        <v>0</v>
      </c>
      <c r="H9" s="12">
        <f>HARLEQUINSPWRTBCONC</f>
        <v>10</v>
      </c>
      <c r="J9" s="8" t="s">
        <v>184</v>
      </c>
      <c r="K9" s="392">
        <v>7</v>
      </c>
      <c r="L9" s="393">
        <v>7</v>
      </c>
      <c r="M9" s="394">
        <v>9</v>
      </c>
      <c r="N9" s="395">
        <v>6</v>
      </c>
      <c r="O9" s="396">
        <f t="shared" si="0"/>
        <v>29</v>
      </c>
      <c r="P9" s="397">
        <v>8</v>
      </c>
      <c r="Q9" s="398">
        <v>5</v>
      </c>
      <c r="R9" s="399">
        <v>8</v>
      </c>
      <c r="S9" s="400">
        <v>8</v>
      </c>
      <c r="T9" s="401">
        <f t="shared" si="1"/>
        <v>29</v>
      </c>
      <c r="U9" s="402">
        <f t="shared" si="2"/>
        <v>58</v>
      </c>
      <c r="W9" s="8" t="s">
        <v>183</v>
      </c>
      <c r="X9" s="392"/>
      <c r="Y9" s="393"/>
      <c r="Z9" s="394"/>
      <c r="AA9" s="395">
        <v>3</v>
      </c>
      <c r="AB9" s="396">
        <f t="shared" si="4"/>
        <v>3</v>
      </c>
      <c r="AC9" s="397">
        <v>1</v>
      </c>
      <c r="AD9" s="398">
        <v>1</v>
      </c>
      <c r="AE9" s="399">
        <v>2</v>
      </c>
      <c r="AF9" s="399">
        <v>2</v>
      </c>
      <c r="AG9" s="400">
        <v>3</v>
      </c>
      <c r="AH9" s="401">
        <f t="shared" si="3"/>
        <v>9</v>
      </c>
      <c r="AI9" s="401">
        <f t="shared" si="5"/>
        <v>9</v>
      </c>
    </row>
    <row r="10" spans="1:35" ht="14.95" customHeight="1" thickBot="1" x14ac:dyDescent="0.3">
      <c r="A10" s="8" t="s">
        <v>49</v>
      </c>
      <c r="B10" s="7">
        <f>Bristolpremseasontotalstriesscored</f>
        <v>55</v>
      </c>
      <c r="C10" s="5" t="s">
        <v>49</v>
      </c>
      <c r="D10" s="6">
        <f>bsttrybonusscored</f>
        <v>6</v>
      </c>
      <c r="E10" s="9" t="s">
        <v>0</v>
      </c>
      <c r="F10" s="10">
        <f>harlequinspwrseasontotalstriesconceded</f>
        <v>64</v>
      </c>
      <c r="G10" s="11" t="s">
        <v>540</v>
      </c>
      <c r="H10" s="12">
        <f>LOUGHBOROUGHPWRTBCONC</f>
        <v>10</v>
      </c>
      <c r="J10" s="8" t="s">
        <v>185</v>
      </c>
      <c r="K10" s="392">
        <v>13</v>
      </c>
      <c r="L10" s="393">
        <v>6</v>
      </c>
      <c r="M10" s="394">
        <v>9</v>
      </c>
      <c r="N10" s="395">
        <v>16</v>
      </c>
      <c r="O10" s="396">
        <f t="shared" si="0"/>
        <v>44</v>
      </c>
      <c r="P10" s="397">
        <v>11</v>
      </c>
      <c r="Q10" s="398">
        <v>9</v>
      </c>
      <c r="R10" s="399">
        <v>8</v>
      </c>
      <c r="S10" s="400">
        <v>11</v>
      </c>
      <c r="T10" s="401">
        <f t="shared" si="1"/>
        <v>39</v>
      </c>
      <c r="U10" s="402">
        <f t="shared" si="2"/>
        <v>83</v>
      </c>
      <c r="W10" s="8" t="s">
        <v>184</v>
      </c>
      <c r="X10" s="392"/>
      <c r="Y10" s="393">
        <v>1</v>
      </c>
      <c r="Z10" s="394">
        <v>1</v>
      </c>
      <c r="AA10" s="395"/>
      <c r="AB10" s="396">
        <f t="shared" si="4"/>
        <v>2</v>
      </c>
      <c r="AC10" s="397">
        <v>2</v>
      </c>
      <c r="AD10" s="398"/>
      <c r="AE10" s="399">
        <v>2</v>
      </c>
      <c r="AF10" s="399">
        <v>2</v>
      </c>
      <c r="AG10" s="400">
        <v>3</v>
      </c>
      <c r="AH10" s="401">
        <f t="shared" si="3"/>
        <v>9</v>
      </c>
      <c r="AI10" s="401">
        <f t="shared" si="5"/>
        <v>8</v>
      </c>
    </row>
    <row r="11" spans="1:35" ht="14.95" customHeight="1" thickBot="1" x14ac:dyDescent="0.3">
      <c r="A11" s="8" t="s">
        <v>70</v>
      </c>
      <c r="B11" s="7">
        <f>LEICESTERPWRTRIESSCORED</f>
        <v>18</v>
      </c>
      <c r="C11" s="5" t="s">
        <v>70</v>
      </c>
      <c r="D11" s="6">
        <f>LEICESTERPWRTBSCORED</f>
        <v>1</v>
      </c>
      <c r="E11" s="9" t="s">
        <v>70</v>
      </c>
      <c r="F11" s="10">
        <f>LEICESTERPWRTRIESCONC</f>
        <v>121</v>
      </c>
      <c r="G11" s="11" t="s">
        <v>70</v>
      </c>
      <c r="H11" s="12">
        <f>LEICESTERPWRTBCONC</f>
        <v>13</v>
      </c>
      <c r="J11" s="8" t="s">
        <v>186</v>
      </c>
      <c r="K11" s="392">
        <v>8</v>
      </c>
      <c r="L11" s="393">
        <v>7</v>
      </c>
      <c r="M11" s="394">
        <v>8</v>
      </c>
      <c r="N11" s="395">
        <v>7</v>
      </c>
      <c r="O11" s="396">
        <f t="shared" si="0"/>
        <v>30</v>
      </c>
      <c r="P11" s="397">
        <v>5</v>
      </c>
      <c r="Q11" s="398">
        <v>9</v>
      </c>
      <c r="R11" s="399">
        <v>8</v>
      </c>
      <c r="S11" s="400">
        <v>9</v>
      </c>
      <c r="T11" s="401">
        <f t="shared" si="1"/>
        <v>31</v>
      </c>
      <c r="U11" s="402">
        <f t="shared" si="2"/>
        <v>61</v>
      </c>
      <c r="W11" s="8" t="s">
        <v>185</v>
      </c>
      <c r="X11" s="392"/>
      <c r="Y11" s="393">
        <v>1</v>
      </c>
      <c r="Z11" s="394"/>
      <c r="AA11" s="395">
        <v>4</v>
      </c>
      <c r="AB11" s="396">
        <f t="shared" si="4"/>
        <v>5</v>
      </c>
      <c r="AC11" s="397">
        <v>2</v>
      </c>
      <c r="AD11" s="398">
        <v>2</v>
      </c>
      <c r="AE11" s="399">
        <v>2</v>
      </c>
      <c r="AF11" s="399"/>
      <c r="AG11" s="400">
        <v>1</v>
      </c>
      <c r="AH11" s="401">
        <f t="shared" si="3"/>
        <v>7</v>
      </c>
      <c r="AI11" s="401">
        <f t="shared" si="5"/>
        <v>11</v>
      </c>
    </row>
    <row r="12" spans="1:35" ht="14.95" customHeight="1" thickBot="1" x14ac:dyDescent="0.3">
      <c r="A12" s="363" t="s">
        <v>661</v>
      </c>
      <c r="B12">
        <f>SUM(B3:B11)</f>
        <v>546</v>
      </c>
      <c r="D12">
        <f>SUM(D3:D11)</f>
        <v>79</v>
      </c>
      <c r="F12">
        <f>SUM(F3:F11)</f>
        <v>546</v>
      </c>
      <c r="H12">
        <f>SUM(H3:H11)</f>
        <v>79</v>
      </c>
      <c r="U12" s="402">
        <f>SUM(U3:U11)</f>
        <v>546</v>
      </c>
      <c r="W12" s="8" t="s">
        <v>186</v>
      </c>
      <c r="X12" s="392"/>
      <c r="Y12" s="393"/>
      <c r="Z12" s="394">
        <v>2</v>
      </c>
      <c r="AA12" s="395">
        <v>1</v>
      </c>
      <c r="AB12" s="396">
        <f t="shared" si="4"/>
        <v>3</v>
      </c>
      <c r="AC12" s="397">
        <v>1</v>
      </c>
      <c r="AD12" s="398">
        <v>1</v>
      </c>
      <c r="AE12" s="399">
        <v>1</v>
      </c>
      <c r="AF12" s="399">
        <v>3</v>
      </c>
      <c r="AG12" s="400">
        <v>3</v>
      </c>
      <c r="AH12" s="401">
        <f t="shared" si="3"/>
        <v>9</v>
      </c>
      <c r="AI12" s="401">
        <f t="shared" si="5"/>
        <v>9</v>
      </c>
    </row>
    <row r="13" spans="1:35" ht="14.95" customHeight="1" thickBot="1" x14ac:dyDescent="0.3">
      <c r="B13" s="478" t="s">
        <v>207</v>
      </c>
      <c r="C13" s="710" t="s">
        <v>218</v>
      </c>
      <c r="D13" s="711"/>
      <c r="E13" s="711"/>
      <c r="F13" s="711"/>
      <c r="G13" s="711"/>
      <c r="H13" s="711"/>
      <c r="I13" s="33"/>
      <c r="J13" s="319" t="s">
        <v>146</v>
      </c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AG13">
        <f>SUM(AG4:AG12)</f>
        <v>15</v>
      </c>
      <c r="AI13" s="402">
        <f>SUM(AI4:AI12)</f>
        <v>79</v>
      </c>
    </row>
    <row r="14" spans="1:35" ht="14.95" customHeight="1" thickBot="1" x14ac:dyDescent="0.3">
      <c r="A14" s="314"/>
      <c r="B14" s="479" t="s">
        <v>134</v>
      </c>
      <c r="C14" s="477" t="s">
        <v>219</v>
      </c>
      <c r="D14" s="344" t="s">
        <v>220</v>
      </c>
      <c r="E14" s="477" t="s">
        <v>221</v>
      </c>
      <c r="F14" s="477" t="s">
        <v>222</v>
      </c>
      <c r="G14" s="477" t="s">
        <v>223</v>
      </c>
      <c r="H14" s="345" t="s">
        <v>224</v>
      </c>
      <c r="I14" s="442" t="s">
        <v>33</v>
      </c>
      <c r="J14" s="14"/>
      <c r="K14" s="432" t="s">
        <v>168</v>
      </c>
      <c r="L14" s="385" t="s">
        <v>174</v>
      </c>
      <c r="M14" s="386" t="s">
        <v>175</v>
      </c>
      <c r="N14" s="386" t="s">
        <v>225</v>
      </c>
      <c r="O14" s="409" t="s">
        <v>82</v>
      </c>
      <c r="P14" s="388" t="s">
        <v>169</v>
      </c>
      <c r="Q14" s="388" t="s">
        <v>170</v>
      </c>
      <c r="R14" s="389" t="s">
        <v>171</v>
      </c>
      <c r="S14" s="389" t="s">
        <v>226</v>
      </c>
      <c r="T14" s="390" t="s">
        <v>83</v>
      </c>
      <c r="U14" s="391" t="s">
        <v>207</v>
      </c>
      <c r="W14" s="319" t="s">
        <v>147</v>
      </c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</row>
    <row r="15" spans="1:35" ht="14.95" customHeight="1" thickBot="1" x14ac:dyDescent="0.3">
      <c r="A15" s="308" t="s">
        <v>116</v>
      </c>
      <c r="B15" s="627">
        <f t="shared" ref="B15:B29" si="6">SUM(E15+H15)</f>
        <v>39</v>
      </c>
      <c r="C15" s="607">
        <v>11</v>
      </c>
      <c r="D15" s="368">
        <v>10</v>
      </c>
      <c r="E15" s="462">
        <f t="shared" ref="E15:E29" si="7">SUM(C15+D15)</f>
        <v>21</v>
      </c>
      <c r="F15" s="362">
        <v>9</v>
      </c>
      <c r="G15" s="362">
        <v>9</v>
      </c>
      <c r="H15" s="462">
        <f t="shared" ref="H15:H29" si="8">SUM(F15+G15)</f>
        <v>18</v>
      </c>
      <c r="I15" s="362">
        <v>5</v>
      </c>
      <c r="J15" s="419" t="s">
        <v>178</v>
      </c>
      <c r="K15" s="392">
        <v>5</v>
      </c>
      <c r="L15" s="393">
        <v>8</v>
      </c>
      <c r="M15" s="394">
        <v>10</v>
      </c>
      <c r="N15" s="395">
        <v>10</v>
      </c>
      <c r="O15" s="396">
        <f>SUM(K15:N15)</f>
        <v>33</v>
      </c>
      <c r="P15" s="397">
        <v>6</v>
      </c>
      <c r="Q15" s="398">
        <v>4</v>
      </c>
      <c r="R15" s="399">
        <v>8</v>
      </c>
      <c r="S15" s="400">
        <v>6</v>
      </c>
      <c r="T15" s="401">
        <f t="shared" ref="T15:T23" si="9">SUM(P15:S15)</f>
        <v>24</v>
      </c>
      <c r="U15" s="402">
        <f>SUM(O15+T15)</f>
        <v>57</v>
      </c>
      <c r="W15" s="14"/>
      <c r="X15" s="385" t="s">
        <v>168</v>
      </c>
      <c r="Y15" s="433" t="s">
        <v>174</v>
      </c>
      <c r="Z15" s="386" t="s">
        <v>175</v>
      </c>
      <c r="AA15" s="386" t="s">
        <v>225</v>
      </c>
      <c r="AB15" s="387" t="s">
        <v>82</v>
      </c>
      <c r="AC15" s="661" t="s">
        <v>169</v>
      </c>
      <c r="AD15" s="388" t="s">
        <v>170</v>
      </c>
      <c r="AE15" s="389" t="s">
        <v>171</v>
      </c>
      <c r="AF15" s="713" t="s">
        <v>226</v>
      </c>
      <c r="AG15" s="714"/>
      <c r="AH15" s="390" t="s">
        <v>83</v>
      </c>
      <c r="AI15" s="390" t="s">
        <v>177</v>
      </c>
    </row>
    <row r="16" spans="1:35" ht="14.95" customHeight="1" thickBot="1" x14ac:dyDescent="0.3">
      <c r="A16" s="1">
        <v>2</v>
      </c>
      <c r="B16" s="627">
        <f t="shared" si="6"/>
        <v>38</v>
      </c>
      <c r="C16" s="362">
        <v>9</v>
      </c>
      <c r="D16" s="368">
        <v>9</v>
      </c>
      <c r="E16" s="462">
        <f t="shared" si="7"/>
        <v>18</v>
      </c>
      <c r="F16" s="607">
        <v>11</v>
      </c>
      <c r="G16" s="362">
        <v>9</v>
      </c>
      <c r="H16" s="462">
        <f t="shared" si="8"/>
        <v>20</v>
      </c>
      <c r="I16" s="362">
        <v>4</v>
      </c>
      <c r="J16" s="8" t="s">
        <v>179</v>
      </c>
      <c r="K16" s="392">
        <v>5</v>
      </c>
      <c r="L16" s="393">
        <v>6</v>
      </c>
      <c r="M16" s="394">
        <v>9</v>
      </c>
      <c r="N16" s="395">
        <v>4</v>
      </c>
      <c r="O16" s="396">
        <f t="shared" ref="O16:O23" si="10">SUM(K16:N16)</f>
        <v>24</v>
      </c>
      <c r="P16" s="397">
        <v>7</v>
      </c>
      <c r="Q16" s="398">
        <v>8</v>
      </c>
      <c r="R16" s="399">
        <v>4</v>
      </c>
      <c r="S16" s="400">
        <v>6</v>
      </c>
      <c r="T16" s="401">
        <f t="shared" si="9"/>
        <v>25</v>
      </c>
      <c r="U16" s="402">
        <f t="shared" ref="U16:U23" si="11">SUM(O16+T16)</f>
        <v>49</v>
      </c>
      <c r="W16" s="403"/>
      <c r="X16" s="404" t="s">
        <v>145</v>
      </c>
      <c r="Y16" s="404" t="s">
        <v>145</v>
      </c>
      <c r="Z16" s="405" t="s">
        <v>145</v>
      </c>
      <c r="AA16" s="405" t="s">
        <v>145</v>
      </c>
      <c r="AB16" s="406" t="s">
        <v>43</v>
      </c>
      <c r="AC16" s="407" t="s">
        <v>145</v>
      </c>
      <c r="AD16" s="407" t="s">
        <v>145</v>
      </c>
      <c r="AE16" s="408" t="s">
        <v>145</v>
      </c>
      <c r="AF16" s="408" t="s">
        <v>145</v>
      </c>
      <c r="AG16" s="408" t="s">
        <v>176</v>
      </c>
      <c r="AH16" s="390"/>
      <c r="AI16" s="390"/>
    </row>
    <row r="17" spans="1:35" ht="14.95" customHeight="1" thickBot="1" x14ac:dyDescent="0.3">
      <c r="A17" s="312">
        <v>3</v>
      </c>
      <c r="B17" s="627">
        <f t="shared" si="6"/>
        <v>40</v>
      </c>
      <c r="C17" s="608">
        <v>11</v>
      </c>
      <c r="D17" s="368">
        <v>11</v>
      </c>
      <c r="E17" s="627">
        <f t="shared" si="7"/>
        <v>22</v>
      </c>
      <c r="F17" s="606">
        <v>6</v>
      </c>
      <c r="G17" s="608">
        <v>12</v>
      </c>
      <c r="H17" s="627">
        <f t="shared" si="8"/>
        <v>18</v>
      </c>
      <c r="I17" s="607">
        <v>7</v>
      </c>
      <c r="J17" s="8" t="s">
        <v>180</v>
      </c>
      <c r="K17" s="392">
        <v>5</v>
      </c>
      <c r="L17" s="393">
        <v>6</v>
      </c>
      <c r="M17" s="394">
        <v>3</v>
      </c>
      <c r="N17" s="395">
        <v>6</v>
      </c>
      <c r="O17" s="396">
        <f t="shared" si="10"/>
        <v>20</v>
      </c>
      <c r="P17" s="397">
        <v>3</v>
      </c>
      <c r="Q17" s="398">
        <v>6</v>
      </c>
      <c r="R17" s="399">
        <v>6</v>
      </c>
      <c r="S17" s="400">
        <v>9</v>
      </c>
      <c r="T17" s="401">
        <f t="shared" si="9"/>
        <v>24</v>
      </c>
      <c r="U17" s="402">
        <f t="shared" si="11"/>
        <v>44</v>
      </c>
      <c r="W17" s="419" t="s">
        <v>178</v>
      </c>
      <c r="X17" s="392"/>
      <c r="Y17" s="393"/>
      <c r="Z17" s="394">
        <v>2</v>
      </c>
      <c r="AA17" s="395">
        <v>3</v>
      </c>
      <c r="AB17" s="396">
        <f t="shared" ref="AB17:AB25" si="12">SUM(X17:AA17)</f>
        <v>5</v>
      </c>
      <c r="AC17" s="397"/>
      <c r="AD17" s="398">
        <v>2</v>
      </c>
      <c r="AE17" s="399">
        <v>1</v>
      </c>
      <c r="AF17" s="399">
        <v>1</v>
      </c>
      <c r="AG17" s="400">
        <v>2</v>
      </c>
      <c r="AH17" s="401">
        <f t="shared" ref="AH17:AH25" si="13">SUM(AC17:AG17)</f>
        <v>6</v>
      </c>
      <c r="AI17" s="401">
        <f>SUM(AB17:AF17)</f>
        <v>9</v>
      </c>
    </row>
    <row r="18" spans="1:35" ht="14.95" customHeight="1" thickBot="1" x14ac:dyDescent="0.3">
      <c r="A18" s="312">
        <v>4</v>
      </c>
      <c r="B18" s="604">
        <f t="shared" si="6"/>
        <v>41</v>
      </c>
      <c r="C18" s="368">
        <v>9</v>
      </c>
      <c r="D18" s="368">
        <v>10</v>
      </c>
      <c r="E18" s="627">
        <f t="shared" si="7"/>
        <v>19</v>
      </c>
      <c r="F18" s="608">
        <v>11</v>
      </c>
      <c r="G18" s="368">
        <v>11</v>
      </c>
      <c r="H18" s="604">
        <f t="shared" si="8"/>
        <v>22</v>
      </c>
      <c r="I18" s="362">
        <v>5</v>
      </c>
      <c r="J18" s="8" t="s">
        <v>181</v>
      </c>
      <c r="K18" s="392">
        <v>10</v>
      </c>
      <c r="L18" s="393">
        <v>6</v>
      </c>
      <c r="M18" s="394">
        <v>10</v>
      </c>
      <c r="N18" s="395">
        <v>10</v>
      </c>
      <c r="O18" s="396">
        <f t="shared" si="10"/>
        <v>36</v>
      </c>
      <c r="P18" s="397">
        <v>7</v>
      </c>
      <c r="Q18" s="398">
        <v>6</v>
      </c>
      <c r="R18" s="399">
        <v>9</v>
      </c>
      <c r="S18" s="400">
        <v>6</v>
      </c>
      <c r="T18" s="401">
        <f t="shared" si="9"/>
        <v>28</v>
      </c>
      <c r="U18" s="402">
        <f t="shared" si="11"/>
        <v>64</v>
      </c>
      <c r="W18" s="8" t="s">
        <v>179</v>
      </c>
      <c r="X18" s="392"/>
      <c r="Y18" s="393"/>
      <c r="Z18" s="394">
        <v>2</v>
      </c>
      <c r="AA18" s="395"/>
      <c r="AB18" s="396">
        <f t="shared" si="12"/>
        <v>2</v>
      </c>
      <c r="AC18" s="397">
        <v>2</v>
      </c>
      <c r="AD18" s="398">
        <v>1</v>
      </c>
      <c r="AE18" s="399">
        <v>2</v>
      </c>
      <c r="AF18" s="399"/>
      <c r="AG18" s="400">
        <v>1</v>
      </c>
      <c r="AH18" s="401">
        <f t="shared" si="13"/>
        <v>6</v>
      </c>
      <c r="AI18" s="401">
        <f t="shared" ref="AI18:AI25" si="14">SUM(AB18:AF18)</f>
        <v>7</v>
      </c>
    </row>
    <row r="19" spans="1:35" ht="14.95" customHeight="1" thickBot="1" x14ac:dyDescent="0.3">
      <c r="A19" s="1">
        <v>5</v>
      </c>
      <c r="B19" s="627">
        <f t="shared" si="6"/>
        <v>39</v>
      </c>
      <c r="C19" s="368">
        <v>10</v>
      </c>
      <c r="D19" s="368">
        <v>11</v>
      </c>
      <c r="E19" s="627">
        <f t="shared" si="7"/>
        <v>21</v>
      </c>
      <c r="F19" s="368">
        <v>7</v>
      </c>
      <c r="G19" s="368">
        <v>11</v>
      </c>
      <c r="H19" s="627">
        <f t="shared" si="8"/>
        <v>18</v>
      </c>
      <c r="I19" s="368">
        <v>5</v>
      </c>
      <c r="J19" s="8" t="s">
        <v>182</v>
      </c>
      <c r="K19" s="392">
        <v>15</v>
      </c>
      <c r="L19" s="393">
        <v>15</v>
      </c>
      <c r="M19" s="394">
        <v>15</v>
      </c>
      <c r="N19" s="395">
        <v>17</v>
      </c>
      <c r="O19" s="396">
        <f t="shared" si="10"/>
        <v>62</v>
      </c>
      <c r="P19" s="397">
        <v>12</v>
      </c>
      <c r="Q19" s="398">
        <v>18</v>
      </c>
      <c r="R19" s="399">
        <v>7</v>
      </c>
      <c r="S19" s="400">
        <v>22</v>
      </c>
      <c r="T19" s="401">
        <f t="shared" si="9"/>
        <v>59</v>
      </c>
      <c r="U19" s="402">
        <f t="shared" si="11"/>
        <v>121</v>
      </c>
      <c r="W19" s="8" t="s">
        <v>180</v>
      </c>
      <c r="X19" s="392"/>
      <c r="Y19" s="393"/>
      <c r="Z19" s="394"/>
      <c r="AA19" s="395"/>
      <c r="AB19" s="396">
        <f t="shared" si="12"/>
        <v>0</v>
      </c>
      <c r="AC19" s="397">
        <v>2</v>
      </c>
      <c r="AD19" s="398"/>
      <c r="AE19" s="399">
        <v>2</v>
      </c>
      <c r="AF19" s="399">
        <v>4</v>
      </c>
      <c r="AG19" s="400">
        <v>4</v>
      </c>
      <c r="AH19" s="401">
        <f t="shared" si="13"/>
        <v>12</v>
      </c>
      <c r="AI19" s="401">
        <f t="shared" si="14"/>
        <v>8</v>
      </c>
    </row>
    <row r="20" spans="1:35" ht="14.95" customHeight="1" thickBot="1" x14ac:dyDescent="0.3">
      <c r="A20" s="1">
        <v>6</v>
      </c>
      <c r="B20" s="627">
        <f t="shared" si="6"/>
        <v>38</v>
      </c>
      <c r="C20" s="368">
        <v>9</v>
      </c>
      <c r="D20" s="368">
        <v>8</v>
      </c>
      <c r="E20" s="627">
        <f t="shared" si="7"/>
        <v>17</v>
      </c>
      <c r="F20" s="368">
        <v>9</v>
      </c>
      <c r="G20" s="608">
        <v>12</v>
      </c>
      <c r="H20" s="627">
        <f t="shared" si="8"/>
        <v>21</v>
      </c>
      <c r="I20" s="362">
        <v>6</v>
      </c>
      <c r="J20" s="8" t="s">
        <v>183</v>
      </c>
      <c r="K20" s="392">
        <v>6</v>
      </c>
      <c r="L20" s="393">
        <v>6</v>
      </c>
      <c r="M20" s="394">
        <v>11</v>
      </c>
      <c r="N20" s="395">
        <v>4</v>
      </c>
      <c r="O20" s="396">
        <f t="shared" si="10"/>
        <v>27</v>
      </c>
      <c r="P20" s="397">
        <v>9</v>
      </c>
      <c r="Q20" s="398">
        <v>6</v>
      </c>
      <c r="R20" s="399">
        <v>10</v>
      </c>
      <c r="S20" s="400">
        <v>10</v>
      </c>
      <c r="T20" s="401">
        <f t="shared" si="9"/>
        <v>35</v>
      </c>
      <c r="U20" s="402">
        <f t="shared" si="11"/>
        <v>62</v>
      </c>
      <c r="W20" s="8" t="s">
        <v>181</v>
      </c>
      <c r="X20" s="392"/>
      <c r="Y20" s="393"/>
      <c r="Z20" s="394"/>
      <c r="AA20" s="395">
        <v>5</v>
      </c>
      <c r="AB20" s="396">
        <f t="shared" si="12"/>
        <v>5</v>
      </c>
      <c r="AC20" s="397"/>
      <c r="AD20" s="398">
        <v>1</v>
      </c>
      <c r="AE20" s="399">
        <v>4</v>
      </c>
      <c r="AF20" s="399"/>
      <c r="AG20" s="400">
        <v>2</v>
      </c>
      <c r="AH20" s="401">
        <f t="shared" si="13"/>
        <v>7</v>
      </c>
      <c r="AI20" s="401">
        <f t="shared" si="14"/>
        <v>10</v>
      </c>
    </row>
    <row r="21" spans="1:35" ht="14.95" customHeight="1" thickBot="1" x14ac:dyDescent="0.3">
      <c r="A21" s="1">
        <v>7</v>
      </c>
      <c r="B21" s="627">
        <f t="shared" si="6"/>
        <v>30</v>
      </c>
      <c r="C21" s="368">
        <v>8</v>
      </c>
      <c r="D21" s="368">
        <v>10</v>
      </c>
      <c r="E21" s="627">
        <f t="shared" si="7"/>
        <v>18</v>
      </c>
      <c r="F21" s="368">
        <v>7</v>
      </c>
      <c r="G21" s="606">
        <v>5</v>
      </c>
      <c r="H21" s="605">
        <f t="shared" si="8"/>
        <v>12</v>
      </c>
      <c r="I21" s="362">
        <v>4</v>
      </c>
      <c r="J21" s="8" t="s">
        <v>184</v>
      </c>
      <c r="K21" s="392">
        <v>5</v>
      </c>
      <c r="L21" s="393">
        <v>9</v>
      </c>
      <c r="M21" s="394">
        <v>9</v>
      </c>
      <c r="N21" s="395">
        <v>7</v>
      </c>
      <c r="O21" s="396">
        <f t="shared" si="10"/>
        <v>30</v>
      </c>
      <c r="P21" s="397">
        <v>8</v>
      </c>
      <c r="Q21" s="398">
        <v>8</v>
      </c>
      <c r="R21" s="399">
        <v>6</v>
      </c>
      <c r="S21" s="400">
        <v>4</v>
      </c>
      <c r="T21" s="401">
        <f t="shared" si="9"/>
        <v>26</v>
      </c>
      <c r="U21" s="402">
        <f t="shared" si="11"/>
        <v>56</v>
      </c>
      <c r="W21" s="8" t="s">
        <v>182</v>
      </c>
      <c r="X21" s="392"/>
      <c r="Y21" s="393">
        <v>2</v>
      </c>
      <c r="Z21" s="394">
        <v>4</v>
      </c>
      <c r="AA21" s="395">
        <v>3</v>
      </c>
      <c r="AB21" s="396">
        <f t="shared" si="12"/>
        <v>9</v>
      </c>
      <c r="AC21" s="397">
        <v>3</v>
      </c>
      <c r="AD21" s="398">
        <v>1</v>
      </c>
      <c r="AE21" s="399"/>
      <c r="AF21" s="399"/>
      <c r="AG21" s="400"/>
      <c r="AH21" s="401">
        <f t="shared" si="13"/>
        <v>4</v>
      </c>
      <c r="AI21" s="401">
        <f t="shared" si="14"/>
        <v>13</v>
      </c>
    </row>
    <row r="22" spans="1:35" ht="14.95" customHeight="1" thickBot="1" x14ac:dyDescent="0.3">
      <c r="A22" s="1">
        <v>8</v>
      </c>
      <c r="B22" s="627">
        <f t="shared" si="6"/>
        <v>38</v>
      </c>
      <c r="C22" s="368">
        <v>8</v>
      </c>
      <c r="D22" s="368">
        <v>11</v>
      </c>
      <c r="E22" s="627">
        <f t="shared" si="7"/>
        <v>19</v>
      </c>
      <c r="F22" s="368">
        <v>7</v>
      </c>
      <c r="G22" s="608">
        <v>12</v>
      </c>
      <c r="H22" s="627">
        <f t="shared" si="8"/>
        <v>19</v>
      </c>
      <c r="I22" s="362">
        <v>5</v>
      </c>
      <c r="J22" s="8" t="s">
        <v>185</v>
      </c>
      <c r="K22" s="392">
        <v>6</v>
      </c>
      <c r="L22" s="393">
        <v>5</v>
      </c>
      <c r="M22" s="394">
        <v>2</v>
      </c>
      <c r="N22" s="395">
        <v>6</v>
      </c>
      <c r="O22" s="396">
        <f t="shared" si="10"/>
        <v>19</v>
      </c>
      <c r="P22" s="397">
        <v>2</v>
      </c>
      <c r="Q22" s="398">
        <v>3</v>
      </c>
      <c r="R22" s="399">
        <v>5</v>
      </c>
      <c r="S22" s="400">
        <v>5</v>
      </c>
      <c r="T22" s="401">
        <f t="shared" si="9"/>
        <v>15</v>
      </c>
      <c r="U22" s="402">
        <f t="shared" si="11"/>
        <v>34</v>
      </c>
      <c r="W22" s="8" t="s">
        <v>183</v>
      </c>
      <c r="X22" s="392"/>
      <c r="Y22" s="393"/>
      <c r="Z22" s="394"/>
      <c r="AA22" s="395">
        <v>1</v>
      </c>
      <c r="AB22" s="396">
        <f t="shared" si="12"/>
        <v>1</v>
      </c>
      <c r="AC22" s="397">
        <v>2</v>
      </c>
      <c r="AD22" s="398">
        <v>2</v>
      </c>
      <c r="AE22" s="399">
        <v>3</v>
      </c>
      <c r="AF22" s="399">
        <v>2</v>
      </c>
      <c r="AG22" s="400">
        <v>1</v>
      </c>
      <c r="AH22" s="401">
        <f t="shared" si="13"/>
        <v>10</v>
      </c>
      <c r="AI22" s="401">
        <f t="shared" si="14"/>
        <v>10</v>
      </c>
    </row>
    <row r="23" spans="1:35" ht="14.95" customHeight="1" thickBot="1" x14ac:dyDescent="0.3">
      <c r="A23" s="308">
        <v>9</v>
      </c>
      <c r="B23" s="627">
        <f t="shared" si="6"/>
        <v>36</v>
      </c>
      <c r="C23" s="368">
        <v>8</v>
      </c>
      <c r="D23" s="368">
        <v>9</v>
      </c>
      <c r="E23" s="627">
        <f t="shared" si="7"/>
        <v>17</v>
      </c>
      <c r="F23" s="368">
        <v>10</v>
      </c>
      <c r="G23" s="368">
        <v>9</v>
      </c>
      <c r="H23" s="627">
        <f t="shared" si="8"/>
        <v>19</v>
      </c>
      <c r="I23" s="608">
        <v>7</v>
      </c>
      <c r="J23" s="8" t="s">
        <v>186</v>
      </c>
      <c r="K23" s="392">
        <v>5</v>
      </c>
      <c r="L23" s="393">
        <v>8</v>
      </c>
      <c r="M23" s="394">
        <v>8</v>
      </c>
      <c r="N23" s="395">
        <v>10</v>
      </c>
      <c r="O23" s="396">
        <f t="shared" si="10"/>
        <v>31</v>
      </c>
      <c r="P23" s="397">
        <v>7</v>
      </c>
      <c r="Q23" s="398">
        <v>4</v>
      </c>
      <c r="R23" s="399">
        <v>9</v>
      </c>
      <c r="S23" s="400">
        <v>8</v>
      </c>
      <c r="T23" s="401">
        <f t="shared" si="9"/>
        <v>28</v>
      </c>
      <c r="U23" s="402">
        <f t="shared" si="11"/>
        <v>59</v>
      </c>
      <c r="W23" s="8" t="s">
        <v>184</v>
      </c>
      <c r="X23" s="392"/>
      <c r="Y23" s="393"/>
      <c r="Z23" s="394">
        <v>1</v>
      </c>
      <c r="AA23" s="395"/>
      <c r="AB23" s="396">
        <f t="shared" si="12"/>
        <v>1</v>
      </c>
      <c r="AC23" s="397">
        <v>3</v>
      </c>
      <c r="AD23" s="398">
        <v>2</v>
      </c>
      <c r="AE23" s="399">
        <v>1</v>
      </c>
      <c r="AF23" s="399">
        <v>2</v>
      </c>
      <c r="AG23" s="400">
        <v>3</v>
      </c>
      <c r="AH23" s="401">
        <f t="shared" si="13"/>
        <v>11</v>
      </c>
      <c r="AI23" s="401">
        <f t="shared" si="14"/>
        <v>9</v>
      </c>
    </row>
    <row r="24" spans="1:35" ht="14.95" customHeight="1" thickBot="1" x14ac:dyDescent="0.3">
      <c r="A24" s="1">
        <v>10</v>
      </c>
      <c r="B24" s="627">
        <f t="shared" si="6"/>
        <v>37</v>
      </c>
      <c r="C24" s="608">
        <v>11</v>
      </c>
      <c r="D24" s="368">
        <v>12</v>
      </c>
      <c r="E24" s="604">
        <f t="shared" si="7"/>
        <v>23</v>
      </c>
      <c r="F24" s="368">
        <v>8</v>
      </c>
      <c r="G24" s="368">
        <v>6</v>
      </c>
      <c r="H24" s="627">
        <f t="shared" si="8"/>
        <v>14</v>
      </c>
      <c r="I24" s="368">
        <v>6</v>
      </c>
      <c r="J24" s="363"/>
      <c r="U24" s="402">
        <f>SUM(U15:U23)</f>
        <v>546</v>
      </c>
      <c r="W24" s="8" t="s">
        <v>185</v>
      </c>
      <c r="X24" s="392"/>
      <c r="Y24" s="393"/>
      <c r="Z24" s="394"/>
      <c r="AA24" s="395">
        <v>1</v>
      </c>
      <c r="AB24" s="396">
        <f t="shared" si="12"/>
        <v>1</v>
      </c>
      <c r="AC24" s="397">
        <v>1</v>
      </c>
      <c r="AD24" s="398"/>
      <c r="AE24" s="399"/>
      <c r="AF24" s="399">
        <v>2</v>
      </c>
      <c r="AG24" s="400">
        <v>1</v>
      </c>
      <c r="AH24" s="401">
        <f t="shared" si="13"/>
        <v>4</v>
      </c>
      <c r="AI24" s="401">
        <f t="shared" si="14"/>
        <v>4</v>
      </c>
    </row>
    <row r="25" spans="1:35" ht="14.95" customHeight="1" thickBot="1" x14ac:dyDescent="0.3">
      <c r="A25" s="308">
        <v>11</v>
      </c>
      <c r="B25" s="627">
        <f t="shared" si="6"/>
        <v>36</v>
      </c>
      <c r="C25" s="368">
        <v>7</v>
      </c>
      <c r="D25" s="608">
        <v>13</v>
      </c>
      <c r="E25" s="627">
        <f t="shared" si="7"/>
        <v>20</v>
      </c>
      <c r="F25" s="368">
        <v>8</v>
      </c>
      <c r="G25" s="368">
        <v>8</v>
      </c>
      <c r="H25" s="627">
        <f t="shared" si="8"/>
        <v>16</v>
      </c>
      <c r="I25" s="608">
        <v>7</v>
      </c>
      <c r="J25" s="319" t="s">
        <v>173</v>
      </c>
      <c r="K25" s="320"/>
      <c r="L25" s="320"/>
      <c r="M25" s="320"/>
      <c r="N25" s="320"/>
      <c r="O25" s="320"/>
      <c r="P25" s="333"/>
      <c r="Q25" s="320"/>
      <c r="R25" s="320"/>
      <c r="S25" s="320"/>
      <c r="T25" s="320"/>
      <c r="W25" s="8" t="s">
        <v>186</v>
      </c>
      <c r="X25" s="392"/>
      <c r="Y25" s="393"/>
      <c r="Z25" s="394"/>
      <c r="AA25" s="395">
        <v>1</v>
      </c>
      <c r="AB25" s="396">
        <f t="shared" si="12"/>
        <v>1</v>
      </c>
      <c r="AC25" s="397">
        <v>2</v>
      </c>
      <c r="AD25" s="398">
        <v>2</v>
      </c>
      <c r="AE25" s="399">
        <v>2</v>
      </c>
      <c r="AF25" s="399">
        <v>2</v>
      </c>
      <c r="AG25" s="400">
        <v>1</v>
      </c>
      <c r="AH25" s="401">
        <f t="shared" si="13"/>
        <v>9</v>
      </c>
      <c r="AI25" s="401">
        <f t="shared" si="14"/>
        <v>9</v>
      </c>
    </row>
    <row r="26" spans="1:35" ht="14.95" customHeight="1" thickBot="1" x14ac:dyDescent="0.3">
      <c r="A26" s="1">
        <v>12</v>
      </c>
      <c r="B26" s="605">
        <f t="shared" si="6"/>
        <v>28</v>
      </c>
      <c r="C26" s="606">
        <v>5</v>
      </c>
      <c r="D26" s="368">
        <v>9</v>
      </c>
      <c r="E26" s="605">
        <f t="shared" si="7"/>
        <v>14</v>
      </c>
      <c r="F26" s="368">
        <v>7</v>
      </c>
      <c r="G26" s="368">
        <v>7</v>
      </c>
      <c r="H26" s="627">
        <f t="shared" si="8"/>
        <v>14</v>
      </c>
      <c r="I26" s="606">
        <v>3</v>
      </c>
      <c r="J26" s="14"/>
      <c r="K26" s="385" t="s">
        <v>169</v>
      </c>
      <c r="L26" s="385" t="s">
        <v>170</v>
      </c>
      <c r="M26" s="386" t="s">
        <v>171</v>
      </c>
      <c r="N26" s="386" t="s">
        <v>172</v>
      </c>
      <c r="O26" s="409" t="s">
        <v>148</v>
      </c>
      <c r="W26" s="363"/>
      <c r="AG26">
        <f>SUM(AG17:AG25)</f>
        <v>15</v>
      </c>
      <c r="AI26" s="402">
        <f>SUM(AI17:AI25)</f>
        <v>79</v>
      </c>
    </row>
    <row r="27" spans="1:35" ht="14.95" customHeight="1" thickBot="1" x14ac:dyDescent="0.3">
      <c r="A27" s="308">
        <v>13</v>
      </c>
      <c r="B27" s="627">
        <f t="shared" si="6"/>
        <v>39</v>
      </c>
      <c r="C27" s="608">
        <v>11</v>
      </c>
      <c r="D27" s="368">
        <v>10</v>
      </c>
      <c r="E27" s="627">
        <f t="shared" si="7"/>
        <v>21</v>
      </c>
      <c r="F27" s="368">
        <v>8</v>
      </c>
      <c r="G27" s="368">
        <v>10</v>
      </c>
      <c r="H27" s="627">
        <f t="shared" si="8"/>
        <v>18</v>
      </c>
      <c r="I27" s="608">
        <v>7</v>
      </c>
      <c r="J27" s="419" t="s">
        <v>178</v>
      </c>
      <c r="K27" s="392">
        <v>1</v>
      </c>
      <c r="L27" s="393">
        <v>1</v>
      </c>
      <c r="M27" s="394"/>
      <c r="N27" s="395"/>
      <c r="O27" s="396">
        <f>SUM(K27:N27)</f>
        <v>2</v>
      </c>
      <c r="W27" s="319" t="s">
        <v>165</v>
      </c>
      <c r="X27" s="320"/>
      <c r="Y27" s="320"/>
      <c r="Z27" s="320"/>
      <c r="AA27" s="320"/>
      <c r="AB27" s="320"/>
      <c r="AC27" s="319" t="s">
        <v>349</v>
      </c>
      <c r="AD27" s="320"/>
      <c r="AE27" s="320"/>
      <c r="AF27" s="320"/>
      <c r="AG27" s="33"/>
      <c r="AH27" s="33"/>
    </row>
    <row r="28" spans="1:35" ht="14.95" customHeight="1" thickBot="1" x14ac:dyDescent="0.3">
      <c r="A28" s="1">
        <v>14</v>
      </c>
      <c r="B28" s="627">
        <f t="shared" si="6"/>
        <v>37</v>
      </c>
      <c r="C28" s="368">
        <v>7</v>
      </c>
      <c r="D28" s="368">
        <v>10</v>
      </c>
      <c r="E28" s="627">
        <f t="shared" si="7"/>
        <v>17</v>
      </c>
      <c r="F28" s="368">
        <v>10</v>
      </c>
      <c r="G28" s="368">
        <v>10</v>
      </c>
      <c r="H28" s="627">
        <f t="shared" si="8"/>
        <v>20</v>
      </c>
      <c r="I28" s="368">
        <v>5</v>
      </c>
      <c r="J28" s="8" t="s">
        <v>179</v>
      </c>
      <c r="K28" s="392">
        <v>1</v>
      </c>
      <c r="L28" s="393"/>
      <c r="M28" s="394"/>
      <c r="N28" s="395"/>
      <c r="O28" s="396">
        <f t="shared" ref="O28:O35" si="15">SUM(K28:N28)</f>
        <v>1</v>
      </c>
      <c r="W28" s="419" t="s">
        <v>178</v>
      </c>
      <c r="X28" s="410"/>
      <c r="AC28" s="214" t="s">
        <v>591</v>
      </c>
      <c r="AD28" s="214" t="s">
        <v>185</v>
      </c>
      <c r="AE28" s="33" t="s">
        <v>320</v>
      </c>
      <c r="AF28" s="33" t="s">
        <v>510</v>
      </c>
    </row>
    <row r="29" spans="1:35" ht="14.95" customHeight="1" thickBot="1" x14ac:dyDescent="0.3">
      <c r="A29" s="1">
        <v>15</v>
      </c>
      <c r="B29" s="627">
        <f t="shared" si="6"/>
        <v>30</v>
      </c>
      <c r="C29" s="368">
        <v>8</v>
      </c>
      <c r="D29" s="606">
        <v>7</v>
      </c>
      <c r="E29" s="627">
        <f t="shared" si="7"/>
        <v>15</v>
      </c>
      <c r="F29" s="606">
        <v>6</v>
      </c>
      <c r="G29" s="368">
        <v>9</v>
      </c>
      <c r="H29" s="627">
        <f t="shared" si="8"/>
        <v>15</v>
      </c>
      <c r="I29" s="606">
        <v>3</v>
      </c>
      <c r="J29" s="8" t="s">
        <v>180</v>
      </c>
      <c r="K29" s="392"/>
      <c r="L29" s="393"/>
      <c r="M29" s="394"/>
      <c r="N29" s="395"/>
      <c r="O29" s="396">
        <f t="shared" si="15"/>
        <v>0</v>
      </c>
      <c r="W29" s="8" t="s">
        <v>179</v>
      </c>
      <c r="X29" s="411"/>
      <c r="AC29" s="345" t="s">
        <v>590</v>
      </c>
      <c r="AD29" s="1" t="s">
        <v>184</v>
      </c>
      <c r="AE29" t="s">
        <v>320</v>
      </c>
      <c r="AF29" t="s">
        <v>240</v>
      </c>
    </row>
    <row r="30" spans="1:35" ht="14.95" customHeight="1" thickBot="1" x14ac:dyDescent="0.3">
      <c r="A30" s="1">
        <v>16</v>
      </c>
      <c r="B30" s="627"/>
      <c r="C30" s="368"/>
      <c r="D30" s="368"/>
      <c r="E30" s="627"/>
      <c r="F30" s="368"/>
      <c r="G30" s="368"/>
      <c r="H30" s="627"/>
      <c r="I30" s="368"/>
      <c r="J30" s="8" t="s">
        <v>181</v>
      </c>
      <c r="K30" s="392"/>
      <c r="L30" s="393"/>
      <c r="M30" s="394">
        <v>1</v>
      </c>
      <c r="N30" s="395">
        <v>1</v>
      </c>
      <c r="O30" s="396">
        <f t="shared" si="15"/>
        <v>2</v>
      </c>
      <c r="W30" s="8" t="s">
        <v>180</v>
      </c>
      <c r="X30" s="411"/>
      <c r="AC30" s="345" t="s">
        <v>589</v>
      </c>
      <c r="AD30" s="1" t="s">
        <v>186</v>
      </c>
      <c r="AE30" t="s">
        <v>390</v>
      </c>
      <c r="AF30" t="s">
        <v>241</v>
      </c>
    </row>
    <row r="31" spans="1:35" ht="14.95" customHeight="1" thickBot="1" x14ac:dyDescent="0.3">
      <c r="A31" s="1">
        <v>17</v>
      </c>
      <c r="B31" s="627"/>
      <c r="C31" s="368"/>
      <c r="D31" s="368"/>
      <c r="E31" s="627"/>
      <c r="F31" s="368"/>
      <c r="G31" s="368"/>
      <c r="H31" s="627"/>
      <c r="I31" s="368"/>
      <c r="J31" s="8" t="s">
        <v>182</v>
      </c>
      <c r="K31" s="392"/>
      <c r="L31" s="393"/>
      <c r="M31" s="394"/>
      <c r="N31" s="395"/>
      <c r="O31" s="396">
        <f t="shared" si="15"/>
        <v>0</v>
      </c>
      <c r="W31" s="8" t="s">
        <v>181</v>
      </c>
      <c r="X31" s="411"/>
      <c r="AC31" s="345" t="s">
        <v>529</v>
      </c>
      <c r="AD31" s="1" t="s">
        <v>178</v>
      </c>
      <c r="AE31" t="s">
        <v>358</v>
      </c>
      <c r="AF31" t="s">
        <v>157</v>
      </c>
      <c r="AG31" s="33"/>
      <c r="AH31" s="33"/>
      <c r="AI31" s="33"/>
    </row>
    <row r="32" spans="1:35" ht="14.95" customHeight="1" thickBot="1" x14ac:dyDescent="0.3">
      <c r="A32" s="466">
        <v>18</v>
      </c>
      <c r="B32" s="660"/>
      <c r="C32" s="480"/>
      <c r="D32" s="480"/>
      <c r="E32" s="660"/>
      <c r="F32" s="480"/>
      <c r="G32" s="480"/>
      <c r="H32" s="660"/>
      <c r="I32" s="467"/>
      <c r="J32" s="8" t="s">
        <v>183</v>
      </c>
      <c r="K32" s="392">
        <v>1</v>
      </c>
      <c r="L32" s="393"/>
      <c r="M32" s="394">
        <v>2</v>
      </c>
      <c r="N32" s="395">
        <v>1</v>
      </c>
      <c r="O32" s="396">
        <f t="shared" si="15"/>
        <v>4</v>
      </c>
      <c r="W32" s="8" t="s">
        <v>182</v>
      </c>
      <c r="X32" s="411"/>
      <c r="AC32" s="345" t="s">
        <v>530</v>
      </c>
      <c r="AD32" s="1" t="s">
        <v>186</v>
      </c>
      <c r="AE32" t="s">
        <v>320</v>
      </c>
      <c r="AF32" t="s">
        <v>244</v>
      </c>
    </row>
    <row r="33" spans="1:32" ht="14.95" customHeight="1" thickBot="1" x14ac:dyDescent="0.3">
      <c r="A33" s="463" t="s">
        <v>128</v>
      </c>
      <c r="B33" s="465"/>
      <c r="C33" s="465"/>
      <c r="D33" s="465" t="s">
        <v>50</v>
      </c>
      <c r="E33" s="465"/>
      <c r="F33" s="465"/>
      <c r="G33" s="465"/>
      <c r="H33" s="465" t="s">
        <v>50</v>
      </c>
      <c r="I33" s="465">
        <v>0</v>
      </c>
      <c r="J33" s="8" t="s">
        <v>184</v>
      </c>
      <c r="K33" s="392"/>
      <c r="L33" s="393"/>
      <c r="M33" s="394"/>
      <c r="N33" s="395">
        <v>1</v>
      </c>
      <c r="O33" s="396">
        <f t="shared" si="15"/>
        <v>1</v>
      </c>
      <c r="W33" s="8" t="s">
        <v>183</v>
      </c>
      <c r="X33" s="411">
        <v>1</v>
      </c>
      <c r="AC33" s="345">
        <v>24</v>
      </c>
      <c r="AD33" s="1" t="s">
        <v>178</v>
      </c>
      <c r="AE33" t="s">
        <v>320</v>
      </c>
      <c r="AF33" t="s">
        <v>516</v>
      </c>
    </row>
    <row r="34" spans="1:32" ht="14.95" customHeight="1" thickBot="1" x14ac:dyDescent="0.3">
      <c r="A34" s="463" t="s">
        <v>129</v>
      </c>
      <c r="B34" s="465"/>
      <c r="C34" s="465"/>
      <c r="D34" s="465" t="s">
        <v>50</v>
      </c>
      <c r="E34" s="465"/>
      <c r="F34" s="465"/>
      <c r="G34" s="465"/>
      <c r="H34" s="465" t="s">
        <v>50</v>
      </c>
      <c r="I34" s="465">
        <v>0</v>
      </c>
      <c r="J34" s="8" t="s">
        <v>185</v>
      </c>
      <c r="K34" s="392"/>
      <c r="L34" s="393"/>
      <c r="M34" s="394">
        <v>1</v>
      </c>
      <c r="N34" s="395"/>
      <c r="O34" s="396">
        <f t="shared" si="15"/>
        <v>1</v>
      </c>
      <c r="W34" s="8" t="s">
        <v>184</v>
      </c>
      <c r="X34" s="411"/>
      <c r="AC34" s="345">
        <v>24</v>
      </c>
      <c r="AD34" s="1" t="s">
        <v>179</v>
      </c>
      <c r="AE34" t="s">
        <v>320</v>
      </c>
      <c r="AF34" t="s">
        <v>667</v>
      </c>
    </row>
    <row r="35" spans="1:32" ht="14.95" customHeight="1" thickBot="1" x14ac:dyDescent="0.3">
      <c r="A35" s="68" t="s">
        <v>43</v>
      </c>
      <c r="B35" s="345">
        <f>SUM(E35+H35)</f>
        <v>546</v>
      </c>
      <c r="C35" s="217">
        <f t="shared" ref="C35:I35" si="16">SUM(C15:C34)</f>
        <v>132</v>
      </c>
      <c r="D35" s="217">
        <f t="shared" si="16"/>
        <v>150</v>
      </c>
      <c r="E35" s="345">
        <f t="shared" si="16"/>
        <v>282</v>
      </c>
      <c r="F35" s="217">
        <f t="shared" si="16"/>
        <v>124</v>
      </c>
      <c r="G35" s="217">
        <f t="shared" si="16"/>
        <v>140</v>
      </c>
      <c r="H35" s="345">
        <f t="shared" si="16"/>
        <v>264</v>
      </c>
      <c r="I35" s="345">
        <f t="shared" si="16"/>
        <v>79</v>
      </c>
      <c r="J35" s="8" t="s">
        <v>186</v>
      </c>
      <c r="K35" s="392"/>
      <c r="L35" s="393"/>
      <c r="M35" s="394">
        <v>1</v>
      </c>
      <c r="N35" s="395">
        <v>1</v>
      </c>
      <c r="O35" s="396">
        <f t="shared" si="15"/>
        <v>2</v>
      </c>
      <c r="W35" s="8" t="s">
        <v>185</v>
      </c>
      <c r="X35" s="411"/>
      <c r="AC35" s="345">
        <v>28</v>
      </c>
      <c r="AD35" s="1" t="s">
        <v>180</v>
      </c>
      <c r="AE35" t="s">
        <v>350</v>
      </c>
      <c r="AF35" t="s">
        <v>515</v>
      </c>
    </row>
    <row r="36" spans="1:32" ht="14.95" customHeight="1" thickBot="1" x14ac:dyDescent="0.35">
      <c r="A36" s="475"/>
      <c r="B36" s="442" t="s">
        <v>207</v>
      </c>
      <c r="C36" s="628" t="s">
        <v>219</v>
      </c>
      <c r="D36" s="629" t="s">
        <v>220</v>
      </c>
      <c r="E36" s="479" t="s">
        <v>221</v>
      </c>
      <c r="F36" s="628" t="s">
        <v>222</v>
      </c>
      <c r="G36" s="628" t="s">
        <v>223</v>
      </c>
      <c r="H36" s="442" t="s">
        <v>224</v>
      </c>
      <c r="I36" s="442" t="s">
        <v>33</v>
      </c>
      <c r="J36" s="363"/>
      <c r="W36" s="8" t="s">
        <v>186</v>
      </c>
      <c r="X36" s="411"/>
      <c r="AC36" s="345">
        <v>29</v>
      </c>
      <c r="AD36" s="1" t="s">
        <v>180</v>
      </c>
      <c r="AE36" t="s">
        <v>400</v>
      </c>
      <c r="AF36" t="s">
        <v>159</v>
      </c>
    </row>
    <row r="37" spans="1:32" ht="14.95" customHeight="1" thickBot="1" x14ac:dyDescent="0.35">
      <c r="A37" s="475" t="s">
        <v>47</v>
      </c>
      <c r="J37" s="319" t="s">
        <v>149</v>
      </c>
      <c r="K37" s="320"/>
      <c r="L37" s="320"/>
      <c r="M37" s="320"/>
      <c r="N37" s="320"/>
      <c r="O37" s="320"/>
      <c r="P37" s="320"/>
      <c r="Q37" s="320"/>
      <c r="R37" s="320"/>
      <c r="S37" s="320"/>
      <c r="W37" s="363"/>
      <c r="AC37" s="345">
        <v>30</v>
      </c>
      <c r="AD37" s="1" t="s">
        <v>180</v>
      </c>
      <c r="AE37" t="s">
        <v>350</v>
      </c>
      <c r="AF37" t="s">
        <v>167</v>
      </c>
    </row>
    <row r="38" spans="1:32" ht="14.95" customHeight="1" thickBot="1" x14ac:dyDescent="0.3">
      <c r="J38" s="14"/>
      <c r="K38" s="715" t="s">
        <v>150</v>
      </c>
      <c r="L38" s="716"/>
      <c r="M38" s="717"/>
      <c r="N38" s="718" t="s">
        <v>32</v>
      </c>
      <c r="O38" s="718"/>
      <c r="P38" s="719"/>
      <c r="Q38" s="720" t="s">
        <v>72</v>
      </c>
      <c r="R38" s="721"/>
      <c r="S38" s="721"/>
      <c r="W38" s="319" t="s">
        <v>166</v>
      </c>
      <c r="X38" s="320"/>
      <c r="Y38" s="320"/>
      <c r="Z38" s="320"/>
      <c r="AA38" s="320"/>
      <c r="AC38" s="345">
        <v>30</v>
      </c>
      <c r="AD38" s="1" t="s">
        <v>184</v>
      </c>
      <c r="AE38" t="s">
        <v>400</v>
      </c>
      <c r="AF38" t="s">
        <v>508</v>
      </c>
    </row>
    <row r="39" spans="1:32" ht="14.95" customHeight="1" thickBot="1" x14ac:dyDescent="0.3">
      <c r="J39" s="403"/>
      <c r="K39" s="412" t="s">
        <v>134</v>
      </c>
      <c r="L39" s="457" t="s">
        <v>14</v>
      </c>
      <c r="M39" s="457" t="s">
        <v>205</v>
      </c>
      <c r="N39" s="461" t="s">
        <v>134</v>
      </c>
      <c r="O39" s="461" t="s">
        <v>14</v>
      </c>
      <c r="P39" s="461" t="s">
        <v>205</v>
      </c>
      <c r="Q39" s="460" t="s">
        <v>134</v>
      </c>
      <c r="R39" s="460" t="s">
        <v>14</v>
      </c>
      <c r="S39" s="391" t="s">
        <v>205</v>
      </c>
      <c r="W39" s="424" t="s">
        <v>525</v>
      </c>
      <c r="X39" s="349" t="s">
        <v>526</v>
      </c>
      <c r="Y39" s="349"/>
      <c r="Z39" s="349"/>
      <c r="AA39" s="349"/>
      <c r="AC39" s="345">
        <v>32</v>
      </c>
      <c r="AD39" s="1" t="s">
        <v>178</v>
      </c>
      <c r="AE39" t="s">
        <v>336</v>
      </c>
      <c r="AF39" t="s">
        <v>512</v>
      </c>
    </row>
    <row r="40" spans="1:32" ht="14.95" customHeight="1" thickBot="1" x14ac:dyDescent="0.3">
      <c r="J40" s="419" t="s">
        <v>178</v>
      </c>
      <c r="K40" s="392">
        <v>26</v>
      </c>
      <c r="L40" s="393">
        <v>169</v>
      </c>
      <c r="M40" s="393">
        <v>13</v>
      </c>
      <c r="N40" s="394">
        <v>29</v>
      </c>
      <c r="O40" s="395">
        <v>179</v>
      </c>
      <c r="P40" s="395">
        <v>12</v>
      </c>
      <c r="Q40" s="459">
        <f>SUM(K40+N40)</f>
        <v>55</v>
      </c>
      <c r="R40" s="396">
        <f>SUM(L40+O40)</f>
        <v>348</v>
      </c>
      <c r="S40" s="458">
        <f>SUM(M40+P40)</f>
        <v>25</v>
      </c>
      <c r="W40" s="424" t="s">
        <v>525</v>
      </c>
      <c r="X40" s="349" t="s">
        <v>668</v>
      </c>
      <c r="Y40" s="349"/>
      <c r="Z40" s="349"/>
      <c r="AA40" s="349"/>
      <c r="AC40" s="345">
        <v>33</v>
      </c>
      <c r="AD40" s="1" t="s">
        <v>185</v>
      </c>
      <c r="AE40" t="s">
        <v>320</v>
      </c>
      <c r="AF40" t="s">
        <v>242</v>
      </c>
    </row>
    <row r="41" spans="1:32" ht="14.95" customHeight="1" thickBot="1" x14ac:dyDescent="0.3">
      <c r="J41" s="8" t="s">
        <v>179</v>
      </c>
      <c r="K41" s="392">
        <v>35</v>
      </c>
      <c r="L41" s="393">
        <v>221</v>
      </c>
      <c r="M41" s="393">
        <v>26</v>
      </c>
      <c r="N41" s="394">
        <v>30</v>
      </c>
      <c r="O41" s="395">
        <v>191</v>
      </c>
      <c r="P41" s="395">
        <v>20</v>
      </c>
      <c r="Q41" s="459">
        <f t="shared" ref="Q41:Q48" si="17">SUM(K41+N41)</f>
        <v>65</v>
      </c>
      <c r="R41" s="396">
        <f t="shared" ref="R41:R48" si="18">SUM(L41+O41)</f>
        <v>412</v>
      </c>
      <c r="S41" s="458">
        <f t="shared" ref="S41:S48" si="19">SUM(M41+P41)</f>
        <v>46</v>
      </c>
      <c r="W41" s="424" t="s">
        <v>633</v>
      </c>
      <c r="X41" s="349" t="s">
        <v>634</v>
      </c>
      <c r="Y41" s="349"/>
      <c r="Z41" s="349"/>
      <c r="AA41" s="349"/>
      <c r="AC41" s="345">
        <v>33</v>
      </c>
      <c r="AD41" s="1" t="s">
        <v>181</v>
      </c>
      <c r="AE41" t="s">
        <v>400</v>
      </c>
      <c r="AF41" t="s">
        <v>245</v>
      </c>
    </row>
    <row r="42" spans="1:32" ht="14.95" customHeight="1" thickBot="1" x14ac:dyDescent="0.3">
      <c r="J42" s="8" t="s">
        <v>180</v>
      </c>
      <c r="K42" s="392">
        <v>37</v>
      </c>
      <c r="L42" s="393">
        <v>237</v>
      </c>
      <c r="M42" s="393">
        <v>30</v>
      </c>
      <c r="N42" s="394">
        <v>46</v>
      </c>
      <c r="O42" s="395">
        <v>296</v>
      </c>
      <c r="P42" s="395">
        <v>35</v>
      </c>
      <c r="Q42" s="459">
        <f t="shared" si="17"/>
        <v>83</v>
      </c>
      <c r="R42" s="396">
        <f t="shared" si="18"/>
        <v>533</v>
      </c>
      <c r="S42" s="458">
        <f t="shared" si="19"/>
        <v>65</v>
      </c>
      <c r="W42" s="424" t="s">
        <v>582</v>
      </c>
      <c r="X42" s="349" t="s">
        <v>583</v>
      </c>
      <c r="Y42" s="349"/>
      <c r="Z42" s="349"/>
      <c r="AA42" s="349"/>
      <c r="AC42" s="345">
        <v>33</v>
      </c>
      <c r="AD42" s="1" t="s">
        <v>180</v>
      </c>
      <c r="AE42" t="s">
        <v>320</v>
      </c>
      <c r="AF42" t="s">
        <v>162</v>
      </c>
    </row>
    <row r="43" spans="1:32" ht="14.95" customHeight="1" thickBot="1" x14ac:dyDescent="0.3">
      <c r="J43" s="8" t="s">
        <v>181</v>
      </c>
      <c r="K43" s="392">
        <v>35</v>
      </c>
      <c r="L43" s="393">
        <v>219</v>
      </c>
      <c r="M43" s="393">
        <v>22</v>
      </c>
      <c r="N43" s="394">
        <v>29</v>
      </c>
      <c r="O43" s="395">
        <v>179</v>
      </c>
      <c r="P43" s="395">
        <v>14</v>
      </c>
      <c r="Q43" s="459">
        <f t="shared" si="17"/>
        <v>64</v>
      </c>
      <c r="R43" s="396">
        <f t="shared" si="18"/>
        <v>398</v>
      </c>
      <c r="S43" s="458">
        <f t="shared" si="19"/>
        <v>36</v>
      </c>
      <c r="W43" s="424" t="s">
        <v>499</v>
      </c>
      <c r="X43" s="349" t="s">
        <v>500</v>
      </c>
      <c r="Y43" s="349"/>
      <c r="Z43" s="349"/>
      <c r="AA43" s="349"/>
      <c r="AC43" s="345">
        <v>34</v>
      </c>
      <c r="AD43" s="1" t="s">
        <v>179</v>
      </c>
      <c r="AE43" t="s">
        <v>400</v>
      </c>
      <c r="AF43" t="s">
        <v>163</v>
      </c>
    </row>
    <row r="44" spans="1:32" ht="14.95" customHeight="1" thickBot="1" x14ac:dyDescent="0.3">
      <c r="J44" s="8" t="s">
        <v>182</v>
      </c>
      <c r="K44" s="392">
        <v>9</v>
      </c>
      <c r="L44" s="393">
        <v>62</v>
      </c>
      <c r="M44" s="393">
        <v>1</v>
      </c>
      <c r="N44" s="394">
        <v>9</v>
      </c>
      <c r="O44" s="395">
        <v>47</v>
      </c>
      <c r="P44" s="395">
        <v>0</v>
      </c>
      <c r="Q44" s="459">
        <f t="shared" si="17"/>
        <v>18</v>
      </c>
      <c r="R44" s="396">
        <f t="shared" si="18"/>
        <v>109</v>
      </c>
      <c r="S44" s="458">
        <f t="shared" si="19"/>
        <v>1</v>
      </c>
      <c r="W44" s="424" t="s">
        <v>372</v>
      </c>
      <c r="X44" s="349" t="s">
        <v>373</v>
      </c>
      <c r="Y44" s="349"/>
      <c r="Z44" s="349"/>
      <c r="AA44" s="349"/>
      <c r="AC44" s="345">
        <v>35</v>
      </c>
      <c r="AD44" s="1" t="s">
        <v>185</v>
      </c>
      <c r="AE44" t="s">
        <v>371</v>
      </c>
      <c r="AF44" t="s">
        <v>157</v>
      </c>
    </row>
    <row r="45" spans="1:32" ht="14.95" customHeight="1" thickBot="1" x14ac:dyDescent="0.3">
      <c r="J45" s="8" t="s">
        <v>183</v>
      </c>
      <c r="K45" s="392">
        <v>37</v>
      </c>
      <c r="L45" s="393">
        <v>233</v>
      </c>
      <c r="M45" s="393">
        <v>23</v>
      </c>
      <c r="N45" s="394">
        <v>22</v>
      </c>
      <c r="O45" s="395">
        <v>148</v>
      </c>
      <c r="P45" s="395">
        <v>9</v>
      </c>
      <c r="Q45" s="459">
        <f t="shared" si="17"/>
        <v>59</v>
      </c>
      <c r="R45" s="396">
        <f t="shared" si="18"/>
        <v>381</v>
      </c>
      <c r="S45" s="458">
        <f t="shared" si="19"/>
        <v>32</v>
      </c>
      <c r="W45" s="424" t="s">
        <v>388</v>
      </c>
      <c r="X45" s="349" t="s">
        <v>389</v>
      </c>
      <c r="Y45" s="349"/>
      <c r="Z45" s="349"/>
      <c r="AA45" s="349"/>
      <c r="AC45" s="345">
        <v>35</v>
      </c>
      <c r="AD45" s="1" t="s">
        <v>185</v>
      </c>
      <c r="AE45" t="s">
        <v>311</v>
      </c>
      <c r="AF45" t="s">
        <v>243</v>
      </c>
    </row>
    <row r="46" spans="1:32" ht="14.95" customHeight="1" thickBot="1" x14ac:dyDescent="0.3">
      <c r="J46" s="8" t="s">
        <v>184</v>
      </c>
      <c r="K46" s="392">
        <v>30</v>
      </c>
      <c r="L46" s="393">
        <v>189</v>
      </c>
      <c r="M46" s="393">
        <v>22</v>
      </c>
      <c r="N46" s="394">
        <v>28</v>
      </c>
      <c r="O46" s="395">
        <v>180</v>
      </c>
      <c r="P46" s="395">
        <v>15</v>
      </c>
      <c r="Q46" s="459">
        <f t="shared" si="17"/>
        <v>58</v>
      </c>
      <c r="R46" s="396">
        <f t="shared" si="18"/>
        <v>369</v>
      </c>
      <c r="S46" s="458">
        <f t="shared" si="19"/>
        <v>37</v>
      </c>
      <c r="W46" s="424" t="s">
        <v>462</v>
      </c>
      <c r="X46" s="349" t="s">
        <v>463</v>
      </c>
      <c r="Y46" s="349"/>
      <c r="Z46" s="349"/>
      <c r="AA46" s="349"/>
      <c r="AC46" s="345">
        <v>37</v>
      </c>
      <c r="AD46" s="1" t="s">
        <v>183</v>
      </c>
      <c r="AE46" t="s">
        <v>320</v>
      </c>
      <c r="AF46" t="s">
        <v>243</v>
      </c>
    </row>
    <row r="47" spans="1:32" ht="14.95" customHeight="1" thickBot="1" x14ac:dyDescent="0.3">
      <c r="J47" s="8" t="s">
        <v>185</v>
      </c>
      <c r="K47" s="392">
        <v>39</v>
      </c>
      <c r="L47" s="393">
        <v>257</v>
      </c>
      <c r="M47" s="393">
        <v>26</v>
      </c>
      <c r="N47" s="394">
        <v>44</v>
      </c>
      <c r="O47" s="395">
        <v>288</v>
      </c>
      <c r="P47" s="395">
        <v>30</v>
      </c>
      <c r="Q47" s="459">
        <f t="shared" si="17"/>
        <v>83</v>
      </c>
      <c r="R47" s="396">
        <f t="shared" si="18"/>
        <v>545</v>
      </c>
      <c r="S47" s="458">
        <f t="shared" si="19"/>
        <v>56</v>
      </c>
      <c r="W47" s="424" t="s">
        <v>638</v>
      </c>
      <c r="X47" s="349" t="s">
        <v>639</v>
      </c>
      <c r="Y47" s="349"/>
      <c r="Z47" s="349"/>
      <c r="AA47" s="349"/>
      <c r="AC47" s="345">
        <v>39</v>
      </c>
      <c r="AD47" s="1" t="s">
        <v>181</v>
      </c>
      <c r="AE47" t="s">
        <v>312</v>
      </c>
      <c r="AF47" t="s">
        <v>253</v>
      </c>
    </row>
    <row r="48" spans="1:32" ht="14.95" customHeight="1" thickBot="1" x14ac:dyDescent="0.3">
      <c r="J48" s="8" t="s">
        <v>186</v>
      </c>
      <c r="K48" s="392">
        <v>28</v>
      </c>
      <c r="L48" s="393">
        <v>176</v>
      </c>
      <c r="M48" s="393">
        <v>14</v>
      </c>
      <c r="N48" s="394">
        <v>33</v>
      </c>
      <c r="O48" s="395">
        <v>222</v>
      </c>
      <c r="P48" s="395">
        <v>22</v>
      </c>
      <c r="Q48" s="459">
        <f t="shared" si="17"/>
        <v>61</v>
      </c>
      <c r="R48" s="396">
        <f t="shared" si="18"/>
        <v>398</v>
      </c>
      <c r="S48" s="458">
        <f t="shared" si="19"/>
        <v>36</v>
      </c>
      <c r="W48" s="424" t="s">
        <v>334</v>
      </c>
      <c r="X48" s="349" t="s">
        <v>335</v>
      </c>
      <c r="Y48" s="349"/>
      <c r="Z48" s="349"/>
      <c r="AA48" s="349"/>
      <c r="AC48" s="345">
        <v>40</v>
      </c>
      <c r="AD48" s="1" t="s">
        <v>185</v>
      </c>
      <c r="AE48" t="s">
        <v>371</v>
      </c>
      <c r="AF48" t="s">
        <v>516</v>
      </c>
    </row>
    <row r="49" spans="10:35" ht="14.95" customHeight="1" x14ac:dyDescent="0.25">
      <c r="J49" s="363" t="s">
        <v>43</v>
      </c>
      <c r="K49">
        <f t="shared" ref="K49:S49" si="20">SUM(K39:K48)</f>
        <v>276</v>
      </c>
      <c r="L49">
        <f t="shared" si="20"/>
        <v>1763</v>
      </c>
      <c r="M49">
        <f t="shared" si="20"/>
        <v>177</v>
      </c>
      <c r="N49">
        <f t="shared" si="20"/>
        <v>270</v>
      </c>
      <c r="O49">
        <f t="shared" si="20"/>
        <v>1730</v>
      </c>
      <c r="P49">
        <f t="shared" si="20"/>
        <v>157</v>
      </c>
      <c r="Q49" s="1">
        <f t="shared" si="20"/>
        <v>546</v>
      </c>
      <c r="R49" s="1">
        <f t="shared" si="20"/>
        <v>3493</v>
      </c>
      <c r="S49" s="1">
        <f t="shared" si="20"/>
        <v>334</v>
      </c>
      <c r="W49" s="424" t="s">
        <v>504</v>
      </c>
      <c r="X49" s="349" t="s">
        <v>556</v>
      </c>
      <c r="Y49" s="349"/>
      <c r="Z49" s="349"/>
      <c r="AA49" s="349"/>
      <c r="AC49" s="345">
        <v>40</v>
      </c>
      <c r="AD49" s="1" t="s">
        <v>183</v>
      </c>
      <c r="AE49" t="s">
        <v>371</v>
      </c>
      <c r="AF49" t="s">
        <v>517</v>
      </c>
    </row>
    <row r="50" spans="10:35" ht="14.95" customHeight="1" x14ac:dyDescent="0.25">
      <c r="J50" s="194" t="s">
        <v>206</v>
      </c>
      <c r="W50" s="424" t="s">
        <v>554</v>
      </c>
      <c r="X50" s="349" t="s">
        <v>555</v>
      </c>
      <c r="Y50" s="349"/>
      <c r="Z50" s="349"/>
      <c r="AA50" s="349"/>
      <c r="AC50" s="345" t="s">
        <v>456</v>
      </c>
      <c r="AD50" s="1" t="s">
        <v>186</v>
      </c>
      <c r="AE50" t="s">
        <v>400</v>
      </c>
      <c r="AF50" t="s">
        <v>242</v>
      </c>
    </row>
    <row r="51" spans="10:35" ht="14.95" customHeight="1" x14ac:dyDescent="0.25">
      <c r="J51" s="693"/>
      <c r="K51" s="712"/>
      <c r="L51" s="712"/>
      <c r="M51" s="712"/>
      <c r="N51" s="712"/>
      <c r="O51" s="712"/>
      <c r="P51" s="712"/>
      <c r="Q51" s="712"/>
      <c r="R51" s="712"/>
      <c r="S51" s="712"/>
      <c r="W51" s="424" t="s">
        <v>593</v>
      </c>
      <c r="X51" s="349" t="s">
        <v>594</v>
      </c>
      <c r="Y51" s="349"/>
      <c r="Z51" s="349"/>
      <c r="AA51" s="349"/>
      <c r="AC51" s="345" t="s">
        <v>456</v>
      </c>
      <c r="AD51" s="1" t="s">
        <v>179</v>
      </c>
      <c r="AE51" t="s">
        <v>371</v>
      </c>
      <c r="AF51" t="s">
        <v>510</v>
      </c>
      <c r="AI51" s="33"/>
    </row>
    <row r="52" spans="10:35" ht="14.95" customHeight="1" x14ac:dyDescent="0.25">
      <c r="J52" s="370"/>
      <c r="K52" s="332"/>
      <c r="L52" s="332"/>
      <c r="M52" s="332"/>
      <c r="N52" s="332"/>
      <c r="O52" s="332"/>
      <c r="P52" s="332"/>
      <c r="Q52" s="332"/>
      <c r="R52" s="332"/>
      <c r="S52" s="332"/>
      <c r="W52" s="424" t="s">
        <v>628</v>
      </c>
      <c r="X52" s="349" t="s">
        <v>629</v>
      </c>
      <c r="Y52" s="349"/>
      <c r="Z52" s="349"/>
      <c r="AA52" s="349"/>
      <c r="AC52" s="345" t="s">
        <v>303</v>
      </c>
      <c r="AD52" s="1" t="s">
        <v>183</v>
      </c>
      <c r="AE52" t="s">
        <v>313</v>
      </c>
      <c r="AF52" t="s">
        <v>253</v>
      </c>
      <c r="AI52" s="33"/>
    </row>
    <row r="53" spans="10:35" ht="14.95" customHeight="1" x14ac:dyDescent="0.25">
      <c r="W53" s="424" t="s">
        <v>478</v>
      </c>
      <c r="X53" s="349" t="s">
        <v>505</v>
      </c>
      <c r="Y53" s="349"/>
      <c r="Z53" s="349"/>
      <c r="AA53" s="349"/>
      <c r="AC53" s="559"/>
      <c r="AD53" s="426"/>
      <c r="AE53" s="35"/>
      <c r="AF53" s="35"/>
      <c r="AI53" s="33"/>
    </row>
    <row r="54" spans="10:35" ht="14.95" customHeight="1" x14ac:dyDescent="0.25">
      <c r="W54" s="424" t="s">
        <v>480</v>
      </c>
      <c r="X54" s="349" t="s">
        <v>481</v>
      </c>
      <c r="Y54" s="349"/>
      <c r="Z54" s="349"/>
      <c r="AA54" s="349"/>
      <c r="AC54" s="462">
        <v>41</v>
      </c>
      <c r="AD54" s="214" t="s">
        <v>183</v>
      </c>
      <c r="AE54" s="33" t="s">
        <v>669</v>
      </c>
      <c r="AF54" s="33"/>
      <c r="AI54" s="33"/>
    </row>
    <row r="55" spans="10:35" ht="14.95" customHeight="1" x14ac:dyDescent="0.25">
      <c r="W55" s="424" t="s">
        <v>451</v>
      </c>
      <c r="X55" s="349" t="s">
        <v>452</v>
      </c>
      <c r="Y55" s="349"/>
      <c r="Z55" s="349"/>
      <c r="AA55" s="349"/>
      <c r="AC55" s="345">
        <v>42</v>
      </c>
      <c r="AD55" s="1" t="s">
        <v>185</v>
      </c>
      <c r="AE55" t="s">
        <v>390</v>
      </c>
      <c r="AF55" t="s">
        <v>162</v>
      </c>
      <c r="AI55" s="33"/>
    </row>
    <row r="56" spans="10:35" ht="14.95" customHeight="1" x14ac:dyDescent="0.25">
      <c r="W56" s="424" t="s">
        <v>535</v>
      </c>
      <c r="X56" s="349" t="s">
        <v>536</v>
      </c>
      <c r="Y56" s="349"/>
      <c r="Z56" s="349"/>
      <c r="AA56" s="349"/>
      <c r="AC56" s="345">
        <v>42</v>
      </c>
      <c r="AD56" s="1" t="s">
        <v>179</v>
      </c>
      <c r="AE56" t="s">
        <v>320</v>
      </c>
      <c r="AF56" t="s">
        <v>508</v>
      </c>
      <c r="AI56" s="33"/>
    </row>
    <row r="57" spans="10:35" ht="14.95" customHeight="1" x14ac:dyDescent="0.25">
      <c r="W57" s="424" t="s">
        <v>488</v>
      </c>
      <c r="X57" s="349" t="s">
        <v>489</v>
      </c>
      <c r="Y57" s="349"/>
      <c r="Z57" s="349"/>
      <c r="AA57" s="349"/>
      <c r="AC57" s="345">
        <v>43</v>
      </c>
      <c r="AD57" s="1" t="s">
        <v>186</v>
      </c>
      <c r="AE57" t="s">
        <v>390</v>
      </c>
      <c r="AF57" t="s">
        <v>511</v>
      </c>
      <c r="AG57" s="33"/>
      <c r="AH57" s="33"/>
      <c r="AI57" s="33"/>
    </row>
    <row r="58" spans="10:35" ht="14.95" customHeight="1" x14ac:dyDescent="0.25">
      <c r="W58" s="424" t="s">
        <v>564</v>
      </c>
      <c r="X58" s="349" t="s">
        <v>565</v>
      </c>
      <c r="Y58" s="349"/>
      <c r="Z58" s="349"/>
      <c r="AA58" s="349"/>
      <c r="AC58" s="345">
        <v>43</v>
      </c>
      <c r="AD58" s="1" t="s">
        <v>184</v>
      </c>
      <c r="AE58" t="s">
        <v>320</v>
      </c>
      <c r="AF58" t="s">
        <v>518</v>
      </c>
      <c r="AG58" s="33"/>
      <c r="AH58" s="33"/>
      <c r="AI58" s="33"/>
    </row>
    <row r="59" spans="10:35" ht="14.95" customHeight="1" x14ac:dyDescent="0.25">
      <c r="W59" s="424" t="s">
        <v>356</v>
      </c>
      <c r="X59" s="349" t="s">
        <v>357</v>
      </c>
      <c r="Y59" s="349"/>
      <c r="Z59" s="349"/>
      <c r="AA59" s="349"/>
      <c r="AC59" s="345">
        <v>45</v>
      </c>
      <c r="AD59" s="1" t="s">
        <v>180</v>
      </c>
      <c r="AE59" t="s">
        <v>336</v>
      </c>
      <c r="AF59" t="s">
        <v>156</v>
      </c>
      <c r="AG59" s="33"/>
      <c r="AH59" s="33"/>
      <c r="AI59" s="33"/>
    </row>
    <row r="60" spans="10:35" ht="14.95" customHeight="1" x14ac:dyDescent="0.25">
      <c r="W60" s="424" t="s">
        <v>587</v>
      </c>
      <c r="X60" s="349" t="s">
        <v>588</v>
      </c>
      <c r="Y60" s="349"/>
      <c r="Z60" s="349"/>
      <c r="AA60" s="349"/>
      <c r="AC60" s="345">
        <v>45</v>
      </c>
      <c r="AD60" s="1" t="s">
        <v>181</v>
      </c>
      <c r="AE60" t="s">
        <v>320</v>
      </c>
      <c r="AF60" t="s">
        <v>163</v>
      </c>
      <c r="AG60" s="33"/>
      <c r="AH60" s="33"/>
      <c r="AI60" s="33"/>
    </row>
    <row r="61" spans="10:35" ht="14.95" customHeight="1" x14ac:dyDescent="0.25">
      <c r="W61" s="424" t="s">
        <v>607</v>
      </c>
      <c r="X61" s="349" t="s">
        <v>608</v>
      </c>
      <c r="Y61" s="349"/>
      <c r="Z61" s="349"/>
      <c r="AA61" s="349"/>
      <c r="AC61" s="345">
        <v>45</v>
      </c>
      <c r="AD61" s="1" t="s">
        <v>180</v>
      </c>
      <c r="AE61" t="s">
        <v>412</v>
      </c>
      <c r="AF61" t="s">
        <v>508</v>
      </c>
      <c r="AG61" s="33"/>
      <c r="AH61" s="33"/>
    </row>
    <row r="62" spans="10:35" ht="14.95" customHeight="1" x14ac:dyDescent="0.25">
      <c r="W62" s="424" t="s">
        <v>646</v>
      </c>
      <c r="X62" s="349" t="s">
        <v>647</v>
      </c>
      <c r="Y62" s="349"/>
      <c r="Z62" s="349"/>
      <c r="AA62" s="349"/>
      <c r="AC62" s="345">
        <v>45</v>
      </c>
      <c r="AD62" s="1" t="s">
        <v>179</v>
      </c>
      <c r="AE62" t="s">
        <v>311</v>
      </c>
      <c r="AF62" t="s">
        <v>518</v>
      </c>
      <c r="AG62" s="33"/>
      <c r="AH62" s="33"/>
    </row>
    <row r="63" spans="10:35" ht="14.95" customHeight="1" x14ac:dyDescent="0.25">
      <c r="W63" s="424" t="s">
        <v>527</v>
      </c>
      <c r="X63" s="349" t="s">
        <v>528</v>
      </c>
      <c r="Y63" s="349"/>
      <c r="Z63" s="349"/>
      <c r="AA63" s="349"/>
      <c r="AC63" s="345">
        <v>46</v>
      </c>
      <c r="AD63" s="1" t="s">
        <v>181</v>
      </c>
      <c r="AE63" t="s">
        <v>371</v>
      </c>
      <c r="AF63" t="s">
        <v>158</v>
      </c>
      <c r="AG63" s="33"/>
      <c r="AH63" s="33"/>
    </row>
    <row r="64" spans="10:35" ht="14.95" customHeight="1" x14ac:dyDescent="0.25">
      <c r="W64" s="1"/>
      <c r="AC64" s="345">
        <v>46</v>
      </c>
      <c r="AD64" s="1" t="s">
        <v>464</v>
      </c>
      <c r="AE64" t="s">
        <v>390</v>
      </c>
      <c r="AF64" t="s">
        <v>242</v>
      </c>
      <c r="AG64" s="33"/>
      <c r="AH64" s="33"/>
    </row>
    <row r="65" spans="23:33" ht="14.95" customHeight="1" x14ac:dyDescent="0.25">
      <c r="W65" s="1"/>
      <c r="AC65" s="345">
        <v>47</v>
      </c>
      <c r="AD65" s="1" t="s">
        <v>179</v>
      </c>
      <c r="AE65" t="s">
        <v>412</v>
      </c>
      <c r="AF65" t="s">
        <v>158</v>
      </c>
      <c r="AG65" s="33"/>
    </row>
    <row r="66" spans="23:33" ht="14.95" customHeight="1" x14ac:dyDescent="0.25">
      <c r="W66" s="1"/>
      <c r="AC66" s="345">
        <v>48</v>
      </c>
      <c r="AD66" s="1" t="s">
        <v>185</v>
      </c>
      <c r="AE66" t="s">
        <v>350</v>
      </c>
      <c r="AF66" t="s">
        <v>513</v>
      </c>
      <c r="AG66" s="33"/>
    </row>
    <row r="67" spans="23:33" ht="14.95" customHeight="1" x14ac:dyDescent="0.25">
      <c r="W67" s="1"/>
      <c r="AC67" s="345">
        <v>49</v>
      </c>
      <c r="AD67" s="1" t="s">
        <v>184</v>
      </c>
      <c r="AE67" t="s">
        <v>350</v>
      </c>
      <c r="AF67" t="s">
        <v>243</v>
      </c>
    </row>
    <row r="68" spans="23:33" ht="14.95" customHeight="1" x14ac:dyDescent="0.25">
      <c r="W68" s="1"/>
      <c r="AC68" s="345">
        <v>50</v>
      </c>
      <c r="AD68" s="1" t="s">
        <v>179</v>
      </c>
      <c r="AE68" t="s">
        <v>311</v>
      </c>
      <c r="AF68" t="s">
        <v>240</v>
      </c>
    </row>
    <row r="69" spans="23:33" ht="14.95" customHeight="1" x14ac:dyDescent="0.25">
      <c r="W69" s="1"/>
      <c r="AC69" s="345">
        <v>51</v>
      </c>
      <c r="AD69" s="1" t="s">
        <v>180</v>
      </c>
      <c r="AE69" t="s">
        <v>371</v>
      </c>
      <c r="AF69" t="s">
        <v>511</v>
      </c>
    </row>
    <row r="70" spans="23:33" ht="14.95" customHeight="1" x14ac:dyDescent="0.25">
      <c r="W70" s="1"/>
      <c r="AC70" s="345">
        <v>51</v>
      </c>
      <c r="AD70" s="1" t="s">
        <v>180</v>
      </c>
      <c r="AE70" t="s">
        <v>412</v>
      </c>
      <c r="AF70" t="s">
        <v>670</v>
      </c>
    </row>
    <row r="71" spans="23:33" ht="14.95" customHeight="1" x14ac:dyDescent="0.25">
      <c r="W71" s="1"/>
      <c r="AC71" s="345">
        <v>55</v>
      </c>
      <c r="AD71" s="1" t="s">
        <v>180</v>
      </c>
      <c r="AE71" t="s">
        <v>311</v>
      </c>
      <c r="AF71" t="s">
        <v>163</v>
      </c>
    </row>
    <row r="72" spans="23:33" ht="14.95" customHeight="1" x14ac:dyDescent="0.25">
      <c r="W72" s="1"/>
      <c r="AC72" s="345">
        <v>55</v>
      </c>
      <c r="AD72" s="1" t="s">
        <v>178</v>
      </c>
      <c r="AE72" t="s">
        <v>390</v>
      </c>
      <c r="AF72" t="s">
        <v>508</v>
      </c>
    </row>
    <row r="73" spans="23:33" ht="14.95" customHeight="1" x14ac:dyDescent="0.25">
      <c r="W73" s="1"/>
      <c r="AC73" s="345">
        <v>56</v>
      </c>
      <c r="AD73" s="1" t="s">
        <v>185</v>
      </c>
      <c r="AE73" t="s">
        <v>350</v>
      </c>
      <c r="AF73" t="s">
        <v>244</v>
      </c>
    </row>
    <row r="74" spans="23:33" ht="14.95" customHeight="1" x14ac:dyDescent="0.25">
      <c r="W74" s="1"/>
      <c r="AC74" s="345">
        <v>56</v>
      </c>
      <c r="AD74" s="1" t="s">
        <v>185</v>
      </c>
      <c r="AE74" t="s">
        <v>400</v>
      </c>
      <c r="AF74" t="s">
        <v>512</v>
      </c>
    </row>
    <row r="75" spans="23:33" ht="14.95" customHeight="1" x14ac:dyDescent="0.25">
      <c r="W75" s="1"/>
      <c r="AC75" s="345">
        <v>56</v>
      </c>
      <c r="AD75" s="1" t="s">
        <v>186</v>
      </c>
      <c r="AE75" t="s">
        <v>320</v>
      </c>
      <c r="AF75" t="s">
        <v>513</v>
      </c>
    </row>
    <row r="76" spans="23:33" ht="14.95" customHeight="1" x14ac:dyDescent="0.25">
      <c r="W76" s="1"/>
      <c r="AC76" s="345">
        <v>58</v>
      </c>
      <c r="AD76" s="1" t="s">
        <v>183</v>
      </c>
      <c r="AE76" t="s">
        <v>400</v>
      </c>
      <c r="AF76" t="s">
        <v>161</v>
      </c>
    </row>
    <row r="77" spans="23:33" ht="14.95" customHeight="1" x14ac:dyDescent="0.25">
      <c r="W77" s="1"/>
      <c r="AC77" s="345">
        <v>58</v>
      </c>
      <c r="AD77" s="1" t="s">
        <v>178</v>
      </c>
      <c r="AE77" t="s">
        <v>311</v>
      </c>
      <c r="AF77" t="s">
        <v>509</v>
      </c>
    </row>
    <row r="78" spans="23:33" ht="14.95" customHeight="1" x14ac:dyDescent="0.25">
      <c r="W78" s="1"/>
      <c r="AC78" s="345">
        <v>58</v>
      </c>
      <c r="AD78" s="1" t="s">
        <v>181</v>
      </c>
      <c r="AE78" t="s">
        <v>412</v>
      </c>
      <c r="AF78" t="s">
        <v>517</v>
      </c>
    </row>
    <row r="79" spans="23:33" ht="14.95" customHeight="1" x14ac:dyDescent="0.25">
      <c r="W79" s="1"/>
      <c r="AC79" s="345">
        <v>61</v>
      </c>
      <c r="AD79" s="1" t="s">
        <v>184</v>
      </c>
      <c r="AE79" t="s">
        <v>412</v>
      </c>
      <c r="AF79" t="s">
        <v>516</v>
      </c>
    </row>
    <row r="80" spans="23:33" ht="14.95" customHeight="1" x14ac:dyDescent="0.25">
      <c r="W80" s="1"/>
      <c r="AC80" s="345">
        <v>62</v>
      </c>
      <c r="AD80" s="1" t="s">
        <v>180</v>
      </c>
      <c r="AE80" t="s">
        <v>371</v>
      </c>
      <c r="AF80" t="s">
        <v>158</v>
      </c>
    </row>
    <row r="81" spans="23:32" ht="14.95" customHeight="1" x14ac:dyDescent="0.25">
      <c r="W81" s="1"/>
      <c r="AC81" s="345">
        <v>62</v>
      </c>
      <c r="AD81" s="1" t="s">
        <v>181</v>
      </c>
      <c r="AE81" t="s">
        <v>350</v>
      </c>
      <c r="AF81" t="s">
        <v>510</v>
      </c>
    </row>
    <row r="82" spans="23:32" ht="14.95" customHeight="1" x14ac:dyDescent="0.25">
      <c r="W82" s="1"/>
      <c r="AC82" s="345">
        <v>62</v>
      </c>
      <c r="AD82" s="1" t="s">
        <v>184</v>
      </c>
      <c r="AE82" t="s">
        <v>311</v>
      </c>
      <c r="AF82" t="s">
        <v>511</v>
      </c>
    </row>
    <row r="83" spans="23:32" ht="14.95" customHeight="1" x14ac:dyDescent="0.25">
      <c r="W83" s="1"/>
      <c r="AC83" s="345">
        <v>63</v>
      </c>
      <c r="AD83" s="1" t="s">
        <v>185</v>
      </c>
      <c r="AE83" t="s">
        <v>400</v>
      </c>
      <c r="AF83" t="s">
        <v>158</v>
      </c>
    </row>
    <row r="84" spans="23:32" ht="14.95" customHeight="1" x14ac:dyDescent="0.25">
      <c r="W84" s="1"/>
      <c r="AC84" s="345">
        <v>63</v>
      </c>
      <c r="AD84" s="1" t="s">
        <v>183</v>
      </c>
      <c r="AE84" t="s">
        <v>311</v>
      </c>
      <c r="AF84" t="s">
        <v>162</v>
      </c>
    </row>
    <row r="85" spans="23:32" ht="14.95" customHeight="1" x14ac:dyDescent="0.25">
      <c r="W85" s="1"/>
      <c r="AC85" s="345">
        <v>63</v>
      </c>
      <c r="AD85" s="1" t="s">
        <v>186</v>
      </c>
      <c r="AE85" t="s">
        <v>371</v>
      </c>
      <c r="AF85" t="s">
        <v>507</v>
      </c>
    </row>
    <row r="86" spans="23:32" ht="14.95" customHeight="1" x14ac:dyDescent="0.25">
      <c r="W86" s="1"/>
      <c r="AC86" s="345">
        <v>63</v>
      </c>
      <c r="AD86" s="1" t="s">
        <v>464</v>
      </c>
      <c r="AE86" t="s">
        <v>390</v>
      </c>
      <c r="AF86" t="s">
        <v>509</v>
      </c>
    </row>
    <row r="87" spans="23:32" ht="14.95" customHeight="1" x14ac:dyDescent="0.25">
      <c r="W87" s="1"/>
      <c r="AC87" s="345">
        <v>64</v>
      </c>
      <c r="AD87" s="1" t="s">
        <v>181</v>
      </c>
      <c r="AE87" t="s">
        <v>351</v>
      </c>
      <c r="AF87" t="s">
        <v>511</v>
      </c>
    </row>
    <row r="88" spans="23:32" ht="14.95" customHeight="1" x14ac:dyDescent="0.25">
      <c r="W88" s="1"/>
      <c r="AC88" s="345">
        <v>66</v>
      </c>
      <c r="AD88" s="1" t="s">
        <v>182</v>
      </c>
      <c r="AE88" t="s">
        <v>371</v>
      </c>
      <c r="AF88" t="s">
        <v>163</v>
      </c>
    </row>
    <row r="89" spans="23:32" ht="14.95" customHeight="1" x14ac:dyDescent="0.25">
      <c r="W89" s="1"/>
      <c r="AC89" s="345">
        <v>67</v>
      </c>
      <c r="AD89" s="1" t="s">
        <v>179</v>
      </c>
      <c r="AE89" t="s">
        <v>351</v>
      </c>
      <c r="AF89" t="s">
        <v>167</v>
      </c>
    </row>
    <row r="90" spans="23:32" ht="14.95" customHeight="1" x14ac:dyDescent="0.25">
      <c r="W90" s="1"/>
      <c r="AC90" s="345">
        <v>67</v>
      </c>
      <c r="AD90" s="1" t="s">
        <v>183</v>
      </c>
      <c r="AE90" t="s">
        <v>350</v>
      </c>
      <c r="AF90" t="s">
        <v>158</v>
      </c>
    </row>
    <row r="91" spans="23:32" ht="14.95" customHeight="1" x14ac:dyDescent="0.25">
      <c r="W91" s="1"/>
      <c r="AC91" s="345">
        <v>67</v>
      </c>
      <c r="AD91" s="1" t="s">
        <v>181</v>
      </c>
      <c r="AE91" t="s">
        <v>390</v>
      </c>
      <c r="AF91" t="s">
        <v>244</v>
      </c>
    </row>
    <row r="92" spans="23:32" ht="14.95" customHeight="1" x14ac:dyDescent="0.25">
      <c r="W92" s="1"/>
      <c r="AC92" s="345">
        <v>67</v>
      </c>
      <c r="AD92" s="1" t="s">
        <v>178</v>
      </c>
      <c r="AE92" t="s">
        <v>412</v>
      </c>
      <c r="AF92" t="s">
        <v>514</v>
      </c>
    </row>
    <row r="93" spans="23:32" ht="14.95" customHeight="1" x14ac:dyDescent="0.25">
      <c r="W93" s="1"/>
      <c r="AC93" s="345">
        <v>68</v>
      </c>
      <c r="AD93" s="1" t="s">
        <v>185</v>
      </c>
      <c r="AE93" t="s">
        <v>412</v>
      </c>
      <c r="AF93" t="s">
        <v>160</v>
      </c>
    </row>
    <row r="94" spans="23:32" ht="14.95" customHeight="1" x14ac:dyDescent="0.25">
      <c r="W94" s="1"/>
      <c r="AC94" s="345">
        <v>70</v>
      </c>
      <c r="AD94" s="1" t="s">
        <v>179</v>
      </c>
      <c r="AE94" t="s">
        <v>466</v>
      </c>
      <c r="AF94" t="s">
        <v>252</v>
      </c>
    </row>
    <row r="95" spans="23:32" ht="14.95" customHeight="1" x14ac:dyDescent="0.25">
      <c r="W95" s="1"/>
      <c r="AC95" s="345">
        <v>71</v>
      </c>
      <c r="AD95" s="1" t="s">
        <v>181</v>
      </c>
      <c r="AE95" t="s">
        <v>311</v>
      </c>
      <c r="AF95" t="s">
        <v>507</v>
      </c>
    </row>
    <row r="96" spans="23:32" ht="14.95" customHeight="1" x14ac:dyDescent="0.25">
      <c r="W96" s="1"/>
      <c r="AC96" s="345">
        <v>75</v>
      </c>
      <c r="AD96" s="1" t="s">
        <v>180</v>
      </c>
      <c r="AE96" t="s">
        <v>336</v>
      </c>
      <c r="AF96" t="s">
        <v>519</v>
      </c>
    </row>
    <row r="97" spans="23:32" ht="14.95" customHeight="1" x14ac:dyDescent="0.25">
      <c r="W97" s="1"/>
      <c r="AC97" s="345">
        <v>76</v>
      </c>
      <c r="AD97" s="1" t="s">
        <v>184</v>
      </c>
      <c r="AE97" t="s">
        <v>351</v>
      </c>
      <c r="AF97" t="s">
        <v>242</v>
      </c>
    </row>
    <row r="98" spans="23:32" ht="14.95" customHeight="1" x14ac:dyDescent="0.25">
      <c r="W98" s="1"/>
      <c r="AC98" s="345">
        <v>76</v>
      </c>
      <c r="AD98" s="1" t="s">
        <v>179</v>
      </c>
      <c r="AE98" t="s">
        <v>390</v>
      </c>
      <c r="AF98" t="s">
        <v>475</v>
      </c>
    </row>
    <row r="99" spans="23:32" ht="14.95" customHeight="1" x14ac:dyDescent="0.25">
      <c r="W99" s="1"/>
      <c r="AC99" s="345">
        <v>76</v>
      </c>
      <c r="AD99" s="1" t="s">
        <v>186</v>
      </c>
      <c r="AE99" t="s">
        <v>351</v>
      </c>
      <c r="AF99" t="s">
        <v>163</v>
      </c>
    </row>
    <row r="100" spans="23:32" ht="14.95" customHeight="1" x14ac:dyDescent="0.25">
      <c r="W100" s="1"/>
      <c r="AC100" s="345">
        <v>76</v>
      </c>
      <c r="AD100" s="1" t="s">
        <v>181</v>
      </c>
      <c r="AE100" t="s">
        <v>336</v>
      </c>
      <c r="AF100" t="s">
        <v>516</v>
      </c>
    </row>
    <row r="101" spans="23:32" ht="14.95" customHeight="1" x14ac:dyDescent="0.25">
      <c r="W101" s="1"/>
      <c r="AC101" s="345">
        <v>76</v>
      </c>
      <c r="AD101" s="1" t="s">
        <v>183</v>
      </c>
      <c r="AE101" t="s">
        <v>390</v>
      </c>
      <c r="AF101" t="s">
        <v>516</v>
      </c>
    </row>
    <row r="102" spans="23:32" ht="14.95" customHeight="1" x14ac:dyDescent="0.25">
      <c r="W102" s="1"/>
      <c r="AC102" s="345">
        <v>77</v>
      </c>
      <c r="AD102" s="1" t="s">
        <v>186</v>
      </c>
      <c r="AE102" t="s">
        <v>400</v>
      </c>
      <c r="AF102" t="s">
        <v>509</v>
      </c>
    </row>
    <row r="103" spans="23:32" ht="14.95" customHeight="1" x14ac:dyDescent="0.25">
      <c r="W103" s="1"/>
      <c r="AC103" s="345">
        <v>79</v>
      </c>
      <c r="AD103" s="1" t="s">
        <v>186</v>
      </c>
      <c r="AE103" t="s">
        <v>412</v>
      </c>
      <c r="AF103" t="s">
        <v>162</v>
      </c>
    </row>
    <row r="104" spans="23:32" ht="14.95" customHeight="1" x14ac:dyDescent="0.25">
      <c r="W104" s="1"/>
      <c r="AC104" s="345">
        <v>79</v>
      </c>
      <c r="AD104" s="1" t="s">
        <v>179</v>
      </c>
      <c r="AE104" t="s">
        <v>351</v>
      </c>
      <c r="AF104" t="s">
        <v>515</v>
      </c>
    </row>
    <row r="105" spans="23:32" ht="14.95" customHeight="1" x14ac:dyDescent="0.25">
      <c r="W105" s="363"/>
      <c r="AC105" s="345">
        <v>80</v>
      </c>
      <c r="AD105" s="1" t="s">
        <v>184</v>
      </c>
      <c r="AE105" t="s">
        <v>311</v>
      </c>
      <c r="AF105" t="s">
        <v>241</v>
      </c>
    </row>
    <row r="106" spans="23:32" ht="14.95" customHeight="1" x14ac:dyDescent="0.25">
      <c r="W106" s="1"/>
      <c r="AC106" s="345" t="s">
        <v>571</v>
      </c>
      <c r="AD106" s="1" t="s">
        <v>183</v>
      </c>
      <c r="AE106" t="s">
        <v>351</v>
      </c>
      <c r="AF106" t="s">
        <v>508</v>
      </c>
    </row>
    <row r="107" spans="23:32" ht="14.95" customHeight="1" x14ac:dyDescent="0.25">
      <c r="W107" s="1"/>
      <c r="AC107" s="345" t="s">
        <v>603</v>
      </c>
      <c r="AD107" s="1" t="s">
        <v>179</v>
      </c>
      <c r="AE107" t="s">
        <v>412</v>
      </c>
      <c r="AF107" t="s">
        <v>512</v>
      </c>
    </row>
    <row r="108" spans="23:32" ht="14.95" customHeight="1" x14ac:dyDescent="0.25">
      <c r="W108" s="1"/>
      <c r="AC108" s="345"/>
    </row>
    <row r="109" spans="23:32" ht="14.95" customHeight="1" x14ac:dyDescent="0.25">
      <c r="W109" s="1"/>
      <c r="AC109" s="345"/>
    </row>
    <row r="110" spans="23:32" ht="14.95" customHeight="1" x14ac:dyDescent="0.25">
      <c r="W110" s="1"/>
      <c r="AC110" s="345"/>
    </row>
    <row r="111" spans="23:32" ht="14.95" customHeight="1" x14ac:dyDescent="0.25">
      <c r="W111" s="1"/>
      <c r="AC111" s="345"/>
    </row>
    <row r="112" spans="23:32" ht="14.95" customHeight="1" x14ac:dyDescent="0.25">
      <c r="W112" s="363" t="s">
        <v>43</v>
      </c>
      <c r="AC112" s="345"/>
    </row>
    <row r="113" spans="29:32" ht="14.95" customHeight="1" x14ac:dyDescent="0.25">
      <c r="AC113" s="345"/>
    </row>
    <row r="114" spans="29:32" ht="14.95" customHeight="1" x14ac:dyDescent="0.25">
      <c r="AC114" s="345"/>
    </row>
    <row r="115" spans="29:32" ht="14.95" customHeight="1" x14ac:dyDescent="0.25">
      <c r="AC115" s="345"/>
    </row>
    <row r="116" spans="29:32" ht="14.95" customHeight="1" x14ac:dyDescent="0.25">
      <c r="AC116" s="345"/>
    </row>
    <row r="117" spans="29:32" ht="14.95" customHeight="1" x14ac:dyDescent="0.25">
      <c r="AC117" s="345"/>
    </row>
    <row r="118" spans="29:32" ht="14.95" customHeight="1" x14ac:dyDescent="0.25">
      <c r="AC118" s="345"/>
    </row>
    <row r="119" spans="29:32" ht="14.95" customHeight="1" x14ac:dyDescent="0.25">
      <c r="AC119" s="345"/>
    </row>
    <row r="120" spans="29:32" ht="14.95" customHeight="1" x14ac:dyDescent="0.25">
      <c r="AC120" s="345"/>
    </row>
    <row r="121" spans="29:32" ht="14.95" customHeight="1" x14ac:dyDescent="0.25">
      <c r="AC121" s="345"/>
    </row>
    <row r="122" spans="29:32" ht="14.95" customHeight="1" x14ac:dyDescent="0.25">
      <c r="AC122" s="1"/>
    </row>
    <row r="123" spans="29:32" ht="14.95" customHeight="1" x14ac:dyDescent="0.25">
      <c r="AC123" s="1"/>
    </row>
    <row r="124" spans="29:32" ht="14.95" customHeight="1" x14ac:dyDescent="0.25">
      <c r="AC124" s="214"/>
      <c r="AD124" s="33"/>
      <c r="AE124" s="33"/>
      <c r="AF124" s="33"/>
    </row>
    <row r="125" spans="29:32" ht="14.95" customHeight="1" x14ac:dyDescent="0.25">
      <c r="AC125" s="214"/>
      <c r="AD125" s="33"/>
      <c r="AE125" s="33"/>
      <c r="AF125" s="33"/>
    </row>
    <row r="126" spans="29:32" ht="14.95" customHeight="1" x14ac:dyDescent="0.25">
      <c r="AC126" s="214"/>
      <c r="AD126" s="33"/>
      <c r="AE126" s="33"/>
      <c r="AF126" s="33"/>
    </row>
    <row r="127" spans="29:32" ht="14.95" customHeight="1" x14ac:dyDescent="0.25">
      <c r="AC127" s="214"/>
      <c r="AD127" s="33"/>
      <c r="AE127" s="33"/>
      <c r="AF127" s="33"/>
    </row>
    <row r="128" spans="29:32" ht="14.95" customHeight="1" x14ac:dyDescent="0.25">
      <c r="AC128" s="214"/>
      <c r="AD128" s="33"/>
      <c r="AE128" s="33"/>
      <c r="AF128" s="33"/>
    </row>
    <row r="129" spans="29:32" ht="14.95" customHeight="1" x14ac:dyDescent="0.25">
      <c r="AC129" s="214"/>
      <c r="AD129" s="33"/>
      <c r="AE129" s="33"/>
      <c r="AF129" s="33"/>
    </row>
    <row r="130" spans="29:32" ht="14.95" customHeight="1" x14ac:dyDescent="0.25">
      <c r="AC130" s="214"/>
      <c r="AD130" s="33"/>
      <c r="AE130" s="33"/>
      <c r="AF130" s="33"/>
    </row>
    <row r="131" spans="29:32" ht="14.95" customHeight="1" x14ac:dyDescent="0.25">
      <c r="AC131" s="214"/>
      <c r="AD131" s="33"/>
      <c r="AE131" s="33"/>
      <c r="AF131" s="33"/>
    </row>
    <row r="132" spans="29:32" ht="14.95" customHeight="1" x14ac:dyDescent="0.25">
      <c r="AC132" s="1"/>
    </row>
    <row r="133" spans="29:32" ht="14.95" customHeight="1" x14ac:dyDescent="0.25">
      <c r="AC133" s="1"/>
    </row>
    <row r="134" spans="29:32" ht="14.95" customHeight="1" x14ac:dyDescent="0.25">
      <c r="AC134" s="1"/>
      <c r="AD134" s="33"/>
    </row>
    <row r="135" spans="29:32" ht="14.95" customHeight="1" x14ac:dyDescent="0.25">
      <c r="AC135" s="1"/>
    </row>
    <row r="136" spans="29:32" ht="14.95" customHeight="1" x14ac:dyDescent="0.25">
      <c r="AC136" s="1"/>
    </row>
    <row r="137" spans="29:32" ht="14.95" customHeight="1" x14ac:dyDescent="0.25">
      <c r="AC137" s="1"/>
    </row>
    <row r="138" spans="29:32" ht="14.95" customHeight="1" x14ac:dyDescent="0.25">
      <c r="AC138" s="1"/>
    </row>
    <row r="139" spans="29:32" ht="14.95" customHeight="1" x14ac:dyDescent="0.25">
      <c r="AC139" s="1"/>
    </row>
    <row r="140" spans="29:32" ht="14.95" customHeight="1" x14ac:dyDescent="0.25">
      <c r="AC140" s="1"/>
    </row>
    <row r="141" spans="29:32" ht="14.95" customHeight="1" x14ac:dyDescent="0.25">
      <c r="AC141" s="1"/>
    </row>
    <row r="142" spans="29:32" ht="14.95" customHeight="1" x14ac:dyDescent="0.25">
      <c r="AC142" s="1"/>
    </row>
    <row r="143" spans="29:32" ht="14.95" customHeight="1" x14ac:dyDescent="0.25">
      <c r="AC143" s="1"/>
    </row>
    <row r="144" spans="29:32" ht="14.95" customHeight="1" x14ac:dyDescent="0.25">
      <c r="AC144" s="1"/>
    </row>
    <row r="145" spans="29:29" ht="14.95" customHeight="1" x14ac:dyDescent="0.25">
      <c r="AC145" s="1"/>
    </row>
    <row r="146" spans="29:29" ht="14.95" customHeight="1" x14ac:dyDescent="0.25">
      <c r="AC146" s="1"/>
    </row>
    <row r="147" spans="29:29" ht="14.95" customHeight="1" x14ac:dyDescent="0.25">
      <c r="AC147" s="1"/>
    </row>
    <row r="148" spans="29:29" ht="14.95" customHeight="1" x14ac:dyDescent="0.25">
      <c r="AC148" s="1"/>
    </row>
    <row r="149" spans="29:29" ht="14.95" customHeight="1" x14ac:dyDescent="0.25">
      <c r="AC149" s="1"/>
    </row>
    <row r="150" spans="29:29" ht="14.95" customHeight="1" x14ac:dyDescent="0.25">
      <c r="AC150" s="1"/>
    </row>
    <row r="151" spans="29:29" ht="14.95" customHeight="1" x14ac:dyDescent="0.25">
      <c r="AC151" s="1"/>
    </row>
    <row r="152" spans="29:29" ht="14.95" customHeight="1" x14ac:dyDescent="0.25">
      <c r="AC152" s="1"/>
    </row>
    <row r="153" spans="29:29" ht="14.95" customHeight="1" x14ac:dyDescent="0.25">
      <c r="AC153" s="1"/>
    </row>
    <row r="154" spans="29:29" ht="14.95" customHeight="1" x14ac:dyDescent="0.25">
      <c r="AC154" s="1"/>
    </row>
    <row r="155" spans="29:29" ht="14.95" customHeight="1" x14ac:dyDescent="0.25">
      <c r="AC155" s="1"/>
    </row>
    <row r="156" spans="29:29" ht="14.95" customHeight="1" x14ac:dyDescent="0.25">
      <c r="AC156" s="1"/>
    </row>
    <row r="157" spans="29:29" ht="14.95" customHeight="1" x14ac:dyDescent="0.25">
      <c r="AC157" s="1"/>
    </row>
    <row r="158" spans="29:29" ht="14.95" customHeight="1" x14ac:dyDescent="0.25">
      <c r="AC158" s="1"/>
    </row>
    <row r="159" spans="29:29" ht="14.95" customHeight="1" x14ac:dyDescent="0.25">
      <c r="AC159" s="1"/>
    </row>
    <row r="160" spans="29:29" ht="14.95" customHeight="1" x14ac:dyDescent="0.25">
      <c r="AC160" s="1"/>
    </row>
    <row r="161" spans="29:29" ht="14.95" customHeight="1" x14ac:dyDescent="0.25">
      <c r="AC161" s="1"/>
    </row>
    <row r="162" spans="29:29" ht="14.95" customHeight="1" x14ac:dyDescent="0.25">
      <c r="AC162" s="1"/>
    </row>
    <row r="163" spans="29:29" ht="14.95" customHeight="1" x14ac:dyDescent="0.25">
      <c r="AC163" s="1"/>
    </row>
    <row r="164" spans="29:29" ht="14.95" customHeight="1" x14ac:dyDescent="0.25">
      <c r="AC164" s="1"/>
    </row>
    <row r="165" spans="29:29" ht="14.95" customHeight="1" x14ac:dyDescent="0.25">
      <c r="AC165" s="1"/>
    </row>
    <row r="166" spans="29:29" ht="14.95" customHeight="1" x14ac:dyDescent="0.25">
      <c r="AC166" s="1"/>
    </row>
    <row r="167" spans="29:29" ht="14.95" customHeight="1" x14ac:dyDescent="0.25">
      <c r="AC167" s="1"/>
    </row>
    <row r="168" spans="29:29" ht="14.95" customHeight="1" x14ac:dyDescent="0.25">
      <c r="AC168" s="1"/>
    </row>
    <row r="169" spans="29:29" ht="14.95" customHeight="1" x14ac:dyDescent="0.25">
      <c r="AC169" s="1"/>
    </row>
    <row r="170" spans="29:29" ht="14.95" customHeight="1" x14ac:dyDescent="0.25">
      <c r="AC170" s="1"/>
    </row>
    <row r="171" spans="29:29" ht="14.95" customHeight="1" x14ac:dyDescent="0.25">
      <c r="AC171" s="1"/>
    </row>
    <row r="172" spans="29:29" ht="14.95" customHeight="1" x14ac:dyDescent="0.25">
      <c r="AC172" s="1"/>
    </row>
    <row r="173" spans="29:29" ht="14.95" customHeight="1" x14ac:dyDescent="0.25">
      <c r="AC173" s="1"/>
    </row>
    <row r="174" spans="29:29" ht="14.95" customHeight="1" x14ac:dyDescent="0.25">
      <c r="AC174" s="1"/>
    </row>
    <row r="175" spans="29:29" ht="14.95" customHeight="1" x14ac:dyDescent="0.25">
      <c r="AC175" s="1"/>
    </row>
    <row r="176" spans="29:29" ht="14.95" customHeight="1" x14ac:dyDescent="0.25">
      <c r="AC176" s="1"/>
    </row>
    <row r="177" spans="29:29" ht="14.95" customHeight="1" x14ac:dyDescent="0.25">
      <c r="AC177" s="1"/>
    </row>
    <row r="178" spans="29:29" ht="14.95" customHeight="1" x14ac:dyDescent="0.25">
      <c r="AC178" s="1"/>
    </row>
    <row r="179" spans="29:29" ht="14.95" customHeight="1" x14ac:dyDescent="0.25">
      <c r="AC179" s="363"/>
    </row>
  </sheetData>
  <sortState xmlns:xlrd2="http://schemas.microsoft.com/office/spreadsheetml/2017/richdata2" ref="G3:H11">
    <sortCondition ref="H3:H11"/>
    <sortCondition ref="G3:G11"/>
  </sortState>
  <mergeCells count="7">
    <mergeCell ref="C13:H13"/>
    <mergeCell ref="J51:S51"/>
    <mergeCell ref="AF2:AG2"/>
    <mergeCell ref="AF15:AG15"/>
    <mergeCell ref="K38:M38"/>
    <mergeCell ref="N38:P38"/>
    <mergeCell ref="Q38:S38"/>
  </mergeCells>
  <pageMargins left="0.7" right="0.7" top="0.75" bottom="0.75" header="0.3" footer="0.3"/>
  <pageSetup paperSize="9" orientation="portrait" r:id="rId1"/>
  <ignoredErrors>
    <ignoredError sqref="L2 L12:L14 Y2 Y15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18"/>
  <sheetViews>
    <sheetView workbookViewId="0">
      <selection activeCell="N21" sqref="N21"/>
    </sheetView>
  </sheetViews>
  <sheetFormatPr defaultColWidth="8.75" defaultRowHeight="14.3" x14ac:dyDescent="0.25"/>
  <cols>
    <col min="1" max="1" width="4.25" customWidth="1"/>
    <col min="2" max="2" width="4.375" customWidth="1"/>
    <col min="3" max="3" width="13.625" customWidth="1"/>
    <col min="4" max="9" width="5.25" customWidth="1"/>
    <col min="10" max="10" width="6.75" customWidth="1"/>
    <col min="11" max="12" width="5.25" customWidth="1"/>
  </cols>
  <sheetData>
    <row r="1" spans="1:28" ht="14.95" customHeight="1" thickBot="1" x14ac:dyDescent="0.3">
      <c r="A1" s="2" t="s">
        <v>5</v>
      </c>
      <c r="B1" s="3" t="s">
        <v>6</v>
      </c>
      <c r="C1" s="3"/>
      <c r="D1" s="3" t="s">
        <v>7</v>
      </c>
      <c r="E1" s="4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4" t="s">
        <v>51</v>
      </c>
      <c r="K1" s="3" t="s">
        <v>13</v>
      </c>
      <c r="L1" s="4" t="s">
        <v>14</v>
      </c>
    </row>
    <row r="2" spans="1:28" ht="14.95" customHeight="1" thickBot="1" x14ac:dyDescent="0.3">
      <c r="A2" s="481" t="s">
        <v>653</v>
      </c>
      <c r="B2" s="603" t="s">
        <v>15</v>
      </c>
      <c r="C2" s="482" t="s">
        <v>63</v>
      </c>
      <c r="D2" s="483">
        <f>gloucesterpremplayed</f>
        <v>13</v>
      </c>
      <c r="E2" s="484">
        <f>gloucesterpremwon</f>
        <v>13</v>
      </c>
      <c r="F2" s="483">
        <f>gloucesterpremdrawsn</f>
        <v>0</v>
      </c>
      <c r="G2" s="483">
        <f>gloucesterpremlost</f>
        <v>0</v>
      </c>
      <c r="H2" s="483">
        <f>gloucesterpremptsscored</f>
        <v>533</v>
      </c>
      <c r="I2" s="483">
        <f>gloucesterpremptsagainst</f>
        <v>279</v>
      </c>
      <c r="J2" s="484">
        <f>SUM(H2-I2)</f>
        <v>254</v>
      </c>
      <c r="K2" s="483">
        <f>gloucesterpremtrybonusscored+gloucesterpremlosingbonusscored</f>
        <v>13</v>
      </c>
      <c r="L2" s="484">
        <f>SUM(E2*4+F2*2+K2)</f>
        <v>65</v>
      </c>
    </row>
    <row r="3" spans="1:28" ht="14.95" customHeight="1" thickBot="1" x14ac:dyDescent="0.3">
      <c r="A3" s="566" t="s">
        <v>653</v>
      </c>
      <c r="B3" s="603" t="s">
        <v>15</v>
      </c>
      <c r="C3" s="482" t="s">
        <v>1</v>
      </c>
      <c r="D3" s="483">
        <f>bathpld</f>
        <v>13</v>
      </c>
      <c r="E3" s="484">
        <f>bathwon</f>
        <v>11</v>
      </c>
      <c r="F3" s="483">
        <f>bathdrawn</f>
        <v>0</v>
      </c>
      <c r="G3" s="483">
        <f>bathlost</f>
        <v>2</v>
      </c>
      <c r="H3" s="483">
        <f>bathscored</f>
        <v>545</v>
      </c>
      <c r="I3" s="483">
        <f>bathconceded</f>
        <v>206</v>
      </c>
      <c r="J3" s="484">
        <f>SUM(H3-I3)</f>
        <v>339</v>
      </c>
      <c r="K3" s="483">
        <f>bathtrybonus+bathbonus</f>
        <v>12</v>
      </c>
      <c r="L3" s="484">
        <f>SUM(E3*4+F3*2+K3)</f>
        <v>56</v>
      </c>
    </row>
    <row r="4" spans="1:28" ht="14.95" customHeight="1" thickBot="1" x14ac:dyDescent="0.3">
      <c r="A4" s="450">
        <v>3</v>
      </c>
      <c r="B4" s="420" t="s">
        <v>15</v>
      </c>
      <c r="C4" s="80" t="s">
        <v>52</v>
      </c>
      <c r="D4" s="81">
        <f>exeterpremplayed</f>
        <v>14</v>
      </c>
      <c r="E4" s="82">
        <f>exeterpremwon</f>
        <v>7</v>
      </c>
      <c r="F4" s="81">
        <f>exeterpremdrawn</f>
        <v>3</v>
      </c>
      <c r="G4" s="81">
        <f>exeterpremlost</f>
        <v>4</v>
      </c>
      <c r="H4" s="81">
        <f>exeterpremptsscored</f>
        <v>412</v>
      </c>
      <c r="I4" s="81">
        <f>exeterpremptsagainst</f>
        <v>311</v>
      </c>
      <c r="J4" s="82">
        <f>SUM(H4-I4)</f>
        <v>101</v>
      </c>
      <c r="K4" s="81">
        <f>exeterpremtrybonusscored+exeterpremlosingbonusscored</f>
        <v>12</v>
      </c>
      <c r="L4" s="82">
        <f>SUM(E4*4+F4*2+K4)</f>
        <v>46</v>
      </c>
    </row>
    <row r="5" spans="1:28" ht="14.95" customHeight="1" thickBot="1" x14ac:dyDescent="0.3">
      <c r="A5" s="853">
        <v>4</v>
      </c>
      <c r="B5" s="854" t="s">
        <v>366</v>
      </c>
      <c r="C5" s="855" t="s">
        <v>62</v>
      </c>
      <c r="D5" s="856">
        <f>SALEPWRPLAYED</f>
        <v>14</v>
      </c>
      <c r="E5" s="857">
        <f>SALEPWRWON</f>
        <v>6</v>
      </c>
      <c r="F5" s="856">
        <f>SALEPWRDRAWN</f>
        <v>1</v>
      </c>
      <c r="G5" s="856">
        <f>SALEPWRLOST</f>
        <v>7</v>
      </c>
      <c r="H5" s="856">
        <f>SALEPWRPTSSCORED</f>
        <v>369</v>
      </c>
      <c r="I5" s="856">
        <f>SALEPWRPTSCONC</f>
        <v>358</v>
      </c>
      <c r="J5" s="857">
        <f>SUM(H5-I5)</f>
        <v>11</v>
      </c>
      <c r="K5" s="856">
        <f>SALEPWRTBSCORED+SALEPWRLBSCORED</f>
        <v>11</v>
      </c>
      <c r="L5" s="857">
        <f>SUM(E5*4+F5*2+K5)</f>
        <v>37</v>
      </c>
      <c r="M5" s="675"/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675"/>
      <c r="AB5" s="675"/>
    </row>
    <row r="6" spans="1:28" ht="14.95" customHeight="1" thickBot="1" x14ac:dyDescent="0.3">
      <c r="A6" s="59">
        <v>5</v>
      </c>
      <c r="B6" s="635" t="s">
        <v>366</v>
      </c>
      <c r="C6" s="850" t="s">
        <v>100</v>
      </c>
      <c r="D6" s="851">
        <f>EALINGPWRPLAYED</f>
        <v>13</v>
      </c>
      <c r="E6" s="852">
        <f>EALINGPWRWON</f>
        <v>5</v>
      </c>
      <c r="F6" s="851">
        <f>EALINGPWRDRAWN</f>
        <v>2</v>
      </c>
      <c r="G6" s="851">
        <f>EALINGPWRLOST</f>
        <v>6</v>
      </c>
      <c r="H6" s="851">
        <f>EALINGPWRPTSSCORED</f>
        <v>398</v>
      </c>
      <c r="I6" s="851">
        <f>EALINGPWRPTSCONC</f>
        <v>362</v>
      </c>
      <c r="J6" s="852">
        <f>SUM(H6-I6)</f>
        <v>36</v>
      </c>
      <c r="K6" s="851">
        <f>EALINGPWRTBFOR+EALINGPWRLBFOR</f>
        <v>12</v>
      </c>
      <c r="L6" s="852">
        <f>SUM(E6*4+F6*2+K6)</f>
        <v>36</v>
      </c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</row>
    <row r="7" spans="1:28" ht="14.95" customHeight="1" thickBot="1" x14ac:dyDescent="0.3">
      <c r="A7" s="858">
        <v>6</v>
      </c>
      <c r="B7" s="422" t="s">
        <v>486</v>
      </c>
      <c r="C7" s="859" t="s">
        <v>0</v>
      </c>
      <c r="D7" s="860">
        <f>HARLEQUINSPWRPLAYED</f>
        <v>14</v>
      </c>
      <c r="E7" s="861">
        <f>HARLEQUINSPWRWON</f>
        <v>5</v>
      </c>
      <c r="F7" s="860">
        <f>HARLEQUINSPWRDRAWN</f>
        <v>1</v>
      </c>
      <c r="G7" s="860">
        <f>HARLEQUINSPWRLOST</f>
        <v>8</v>
      </c>
      <c r="H7" s="860">
        <f>HARLEQUINSPWRPTSSCORED</f>
        <v>398</v>
      </c>
      <c r="I7" s="860">
        <f>HARLEQUINSPWRPTSCONC</f>
        <v>436</v>
      </c>
      <c r="J7" s="861">
        <f>SUM(H7-I7)</f>
        <v>-38</v>
      </c>
      <c r="K7" s="860">
        <f>HARLEQUINSPWRTBSCORED+HARLEQUINSPWRLBSCORED</f>
        <v>14</v>
      </c>
      <c r="L7" s="861">
        <f>SUM(E7*4+F7*2+K7)</f>
        <v>36</v>
      </c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4.95" customHeight="1" thickBot="1" x14ac:dyDescent="0.3">
      <c r="A8" s="59">
        <v>7</v>
      </c>
      <c r="B8" s="422" t="s">
        <v>15</v>
      </c>
      <c r="C8" s="655" t="s">
        <v>540</v>
      </c>
      <c r="D8" s="656">
        <f>LOUGHBOROUGHPWRPLAYED</f>
        <v>13</v>
      </c>
      <c r="E8" s="657">
        <f>LOUGHBOROUGHPWRWON</f>
        <v>4</v>
      </c>
      <c r="F8" s="656">
        <f>LOUGHBOROUGHPWRDRAWN</f>
        <v>2</v>
      </c>
      <c r="G8" s="656">
        <f>LOUGHBOROUGHPWRLOST</f>
        <v>7</v>
      </c>
      <c r="H8" s="656">
        <f>LOUGHBOROUGHPWRPTSSCORED</f>
        <v>381</v>
      </c>
      <c r="I8" s="656">
        <f>LOUGHBOROUGHPWRPTSCONC</f>
        <v>395</v>
      </c>
      <c r="J8" s="657">
        <f>SUM(H8-I8)</f>
        <v>-14</v>
      </c>
      <c r="K8" s="656">
        <f>LOUGHBOROUGHPWRTBSCORED+LOUGHBOROUGHPWRLBSCORED</f>
        <v>12</v>
      </c>
      <c r="L8" s="657">
        <f>SUM(E8*4+F8*2+K8)</f>
        <v>32</v>
      </c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1:28" ht="14.95" customHeight="1" thickBot="1" x14ac:dyDescent="0.3">
      <c r="A9" s="97">
        <v>8</v>
      </c>
      <c r="B9" s="422" t="s">
        <v>15</v>
      </c>
      <c r="C9" s="98" t="s">
        <v>49</v>
      </c>
      <c r="D9" s="99">
        <f>bstplayed</f>
        <v>13</v>
      </c>
      <c r="E9" s="100">
        <f>bstwon</f>
        <v>4</v>
      </c>
      <c r="F9" s="99">
        <f>bstdrew</f>
        <v>1</v>
      </c>
      <c r="G9" s="99">
        <f>bstlost</f>
        <v>8</v>
      </c>
      <c r="H9" s="99">
        <f>bstscored</f>
        <v>348</v>
      </c>
      <c r="I9" s="99">
        <f>bstagainst</f>
        <v>379</v>
      </c>
      <c r="J9" s="100">
        <f>SUM(H9-I9)</f>
        <v>-31</v>
      </c>
      <c r="K9" s="99">
        <f>bsttrybonusscored+bstlosingbonusscored</f>
        <v>7</v>
      </c>
      <c r="L9" s="100">
        <f>SUM(E9*4+F9*2+K9)</f>
        <v>25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</row>
    <row r="10" spans="1:28" ht="14.95" customHeight="1" thickBot="1" x14ac:dyDescent="0.3">
      <c r="A10" s="97">
        <v>9</v>
      </c>
      <c r="B10" s="422" t="s">
        <v>15</v>
      </c>
      <c r="C10" s="98" t="s">
        <v>70</v>
      </c>
      <c r="D10" s="99">
        <f>LEICESTERPWRPLAYED</f>
        <v>13</v>
      </c>
      <c r="E10" s="100">
        <f>LEICESTERPWRWON</f>
        <v>0</v>
      </c>
      <c r="F10" s="99">
        <f>LEICESTERPWRDRAWN</f>
        <v>0</v>
      </c>
      <c r="G10" s="99">
        <f>LEICESTERPWRLOST</f>
        <v>13</v>
      </c>
      <c r="H10" s="99">
        <f>LEICESTERPWRPTSSCORED</f>
        <v>109</v>
      </c>
      <c r="I10" s="99">
        <f>LEICESTERPWRPTSCONC</f>
        <v>767</v>
      </c>
      <c r="J10" s="100">
        <f>SUM(H10-I10)</f>
        <v>-658</v>
      </c>
      <c r="K10" s="99">
        <f>LEICESTERPWRTBSCORED+LEICESTERPWRLBSCORED</f>
        <v>1</v>
      </c>
      <c r="L10" s="100">
        <f>SUM(E10*4+F10*2+K10)</f>
        <v>1</v>
      </c>
      <c r="M10" s="78"/>
      <c r="N10" s="76"/>
      <c r="O10" s="76"/>
      <c r="P10" s="76"/>
      <c r="Q10" s="76"/>
      <c r="R10" s="76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14.95" customHeight="1" x14ac:dyDescent="0.25">
      <c r="A11" s="36" t="s">
        <v>43</v>
      </c>
      <c r="C11" s="36"/>
      <c r="D11">
        <f t="shared" ref="D11:L11" si="0">SUM(D2:D10)</f>
        <v>120</v>
      </c>
      <c r="E11">
        <f t="shared" si="0"/>
        <v>55</v>
      </c>
      <c r="F11">
        <f t="shared" si="0"/>
        <v>10</v>
      </c>
      <c r="G11">
        <f t="shared" si="0"/>
        <v>55</v>
      </c>
      <c r="H11">
        <f t="shared" si="0"/>
        <v>3493</v>
      </c>
      <c r="I11">
        <f t="shared" si="0"/>
        <v>3493</v>
      </c>
      <c r="J11">
        <f t="shared" si="0"/>
        <v>0</v>
      </c>
      <c r="K11">
        <f t="shared" si="0"/>
        <v>94</v>
      </c>
      <c r="L11">
        <f t="shared" si="0"/>
        <v>334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ht="14.95" customHeight="1" x14ac:dyDescent="0.25">
      <c r="A12" t="s">
        <v>541</v>
      </c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28" ht="14.95" customHeight="1" x14ac:dyDescent="0.25">
      <c r="A13" t="s">
        <v>332</v>
      </c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28" ht="14.95" customHeight="1" x14ac:dyDescent="0.25">
      <c r="A14" t="s">
        <v>333</v>
      </c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ht="14.95" customHeight="1" x14ac:dyDescent="0.25">
      <c r="A15" s="1" t="s">
        <v>57</v>
      </c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8" ht="14.95" customHeight="1" x14ac:dyDescent="0.25">
      <c r="A16" s="62" t="s">
        <v>59</v>
      </c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4.95" customHeight="1" x14ac:dyDescent="0.25">
      <c r="A17" s="62" t="s">
        <v>58</v>
      </c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x14ac:dyDescent="0.25">
      <c r="A18" s="62" t="s">
        <v>60</v>
      </c>
      <c r="M18" s="77"/>
      <c r="N18" s="77"/>
      <c r="O18" s="77"/>
      <c r="P18" s="77"/>
      <c r="Q18" s="76"/>
      <c r="R18" s="77"/>
      <c r="S18" s="79"/>
      <c r="T18" s="76"/>
      <c r="U18" s="76"/>
      <c r="V18" s="77"/>
      <c r="W18" s="77"/>
      <c r="X18" s="76"/>
      <c r="Y18" s="78"/>
      <c r="Z18" s="77"/>
    </row>
    <row r="19" spans="1:26" x14ac:dyDescent="0.25">
      <c r="A19" s="62" t="s">
        <v>61</v>
      </c>
    </row>
    <row r="20" spans="1:26" x14ac:dyDescent="0.25">
      <c r="A20" s="62" t="s">
        <v>54</v>
      </c>
    </row>
    <row r="21" spans="1:26" x14ac:dyDescent="0.25">
      <c r="A21" s="62" t="s">
        <v>55</v>
      </c>
    </row>
    <row r="22" spans="1:26" x14ac:dyDescent="0.25">
      <c r="A22" s="62" t="s">
        <v>56</v>
      </c>
    </row>
    <row r="23" spans="1:26" x14ac:dyDescent="0.25">
      <c r="A23" s="62"/>
    </row>
    <row r="24" spans="1:26" x14ac:dyDescent="0.25">
      <c r="A24" s="146" t="s">
        <v>660</v>
      </c>
    </row>
    <row r="25" spans="1:26" ht="14.95" thickBot="1" x14ac:dyDescent="0.3">
      <c r="A25" s="62"/>
    </row>
    <row r="26" spans="1:26" ht="14.95" thickBot="1" x14ac:dyDescent="0.3">
      <c r="A26" s="567" t="s">
        <v>5</v>
      </c>
      <c r="B26" s="568" t="s">
        <v>6</v>
      </c>
      <c r="C26" s="568"/>
      <c r="D26" s="568" t="s">
        <v>7</v>
      </c>
      <c r="E26" s="569" t="s">
        <v>8</v>
      </c>
      <c r="F26" s="568" t="s">
        <v>9</v>
      </c>
      <c r="G26" s="568" t="s">
        <v>10</v>
      </c>
      <c r="H26" s="568" t="s">
        <v>11</v>
      </c>
      <c r="I26" s="568" t="s">
        <v>12</v>
      </c>
      <c r="J26" s="569" t="s">
        <v>51</v>
      </c>
      <c r="K26" s="568" t="s">
        <v>13</v>
      </c>
      <c r="L26" s="569" t="s">
        <v>14</v>
      </c>
    </row>
    <row r="27" spans="1:26" ht="14.95" thickBot="1" x14ac:dyDescent="0.3">
      <c r="A27" s="570" t="s">
        <v>653</v>
      </c>
      <c r="B27" s="421" t="s">
        <v>15</v>
      </c>
      <c r="C27" s="571" t="s">
        <v>63</v>
      </c>
      <c r="D27" s="572">
        <v>13</v>
      </c>
      <c r="E27" s="573">
        <v>13</v>
      </c>
      <c r="F27" s="572">
        <v>0</v>
      </c>
      <c r="G27" s="572">
        <v>0</v>
      </c>
      <c r="H27" s="572">
        <v>533</v>
      </c>
      <c r="I27" s="572">
        <v>279</v>
      </c>
      <c r="J27" s="573">
        <v>254</v>
      </c>
      <c r="K27" s="572">
        <v>13</v>
      </c>
      <c r="L27" s="573">
        <v>65</v>
      </c>
    </row>
    <row r="28" spans="1:26" ht="14.95" thickBot="1" x14ac:dyDescent="0.3">
      <c r="A28" s="570" t="s">
        <v>653</v>
      </c>
      <c r="B28" s="421" t="s">
        <v>15</v>
      </c>
      <c r="C28" s="571" t="s">
        <v>1</v>
      </c>
      <c r="D28" s="572">
        <v>13</v>
      </c>
      <c r="E28" s="573">
        <v>11</v>
      </c>
      <c r="F28" s="572">
        <v>0</v>
      </c>
      <c r="G28" s="572">
        <v>2</v>
      </c>
      <c r="H28" s="572">
        <v>545</v>
      </c>
      <c r="I28" s="572">
        <v>206</v>
      </c>
      <c r="J28" s="573">
        <v>339</v>
      </c>
      <c r="K28" s="572">
        <v>12</v>
      </c>
      <c r="L28" s="573">
        <v>56</v>
      </c>
    </row>
    <row r="29" spans="1:26" ht="14.95" thickBot="1" x14ac:dyDescent="0.3">
      <c r="A29" s="574">
        <v>3</v>
      </c>
      <c r="B29" s="420" t="s">
        <v>15</v>
      </c>
      <c r="C29" s="575" t="s">
        <v>52</v>
      </c>
      <c r="D29" s="576">
        <v>14</v>
      </c>
      <c r="E29" s="577">
        <v>7</v>
      </c>
      <c r="F29" s="576">
        <v>3</v>
      </c>
      <c r="G29" s="576">
        <v>4</v>
      </c>
      <c r="H29" s="576">
        <v>412</v>
      </c>
      <c r="I29" s="576">
        <v>311</v>
      </c>
      <c r="J29" s="577">
        <v>101</v>
      </c>
      <c r="K29" s="576">
        <v>12</v>
      </c>
      <c r="L29" s="577">
        <v>46</v>
      </c>
    </row>
    <row r="30" spans="1:26" ht="14.95" thickBot="1" x14ac:dyDescent="0.3">
      <c r="A30" s="574">
        <v>4</v>
      </c>
      <c r="B30" s="420" t="s">
        <v>366</v>
      </c>
      <c r="C30" s="575" t="s">
        <v>62</v>
      </c>
      <c r="D30" s="576">
        <v>14</v>
      </c>
      <c r="E30" s="577">
        <v>6</v>
      </c>
      <c r="F30" s="576">
        <v>1</v>
      </c>
      <c r="G30" s="576">
        <v>7</v>
      </c>
      <c r="H30" s="576">
        <v>369</v>
      </c>
      <c r="I30" s="576">
        <v>358</v>
      </c>
      <c r="J30" s="577">
        <v>11</v>
      </c>
      <c r="K30" s="576">
        <v>12</v>
      </c>
      <c r="L30" s="577">
        <v>38</v>
      </c>
    </row>
    <row r="31" spans="1:26" ht="14.95" thickBot="1" x14ac:dyDescent="0.3">
      <c r="A31" s="578">
        <v>5</v>
      </c>
      <c r="B31" s="579" t="s">
        <v>366</v>
      </c>
      <c r="C31" s="580" t="s">
        <v>100</v>
      </c>
      <c r="D31" s="581">
        <v>13</v>
      </c>
      <c r="E31" s="582">
        <v>5</v>
      </c>
      <c r="F31" s="581">
        <v>2</v>
      </c>
      <c r="G31" s="581">
        <v>6</v>
      </c>
      <c r="H31" s="581">
        <v>398</v>
      </c>
      <c r="I31" s="581">
        <v>362</v>
      </c>
      <c r="J31" s="582">
        <v>36</v>
      </c>
      <c r="K31" s="581">
        <v>12</v>
      </c>
      <c r="L31" s="582">
        <v>36</v>
      </c>
    </row>
    <row r="32" spans="1:26" ht="14.95" thickBot="1" x14ac:dyDescent="0.3">
      <c r="A32" s="578">
        <v>6</v>
      </c>
      <c r="B32" s="579" t="s">
        <v>486</v>
      </c>
      <c r="C32" s="580" t="s">
        <v>0</v>
      </c>
      <c r="D32" s="581">
        <v>14</v>
      </c>
      <c r="E32" s="582">
        <v>5</v>
      </c>
      <c r="F32" s="581">
        <v>1</v>
      </c>
      <c r="G32" s="581">
        <v>8</v>
      </c>
      <c r="H32" s="581">
        <v>398</v>
      </c>
      <c r="I32" s="581">
        <v>436</v>
      </c>
      <c r="J32" s="582">
        <v>-38</v>
      </c>
      <c r="K32" s="581">
        <v>14</v>
      </c>
      <c r="L32" s="582">
        <v>36</v>
      </c>
    </row>
    <row r="33" spans="1:12" ht="14.95" thickBot="1" x14ac:dyDescent="0.3">
      <c r="A33" s="578">
        <v>7</v>
      </c>
      <c r="B33" s="579" t="s">
        <v>15</v>
      </c>
      <c r="C33" s="580" t="s">
        <v>540</v>
      </c>
      <c r="D33" s="581">
        <v>13</v>
      </c>
      <c r="E33" s="582">
        <v>4</v>
      </c>
      <c r="F33" s="581">
        <v>2</v>
      </c>
      <c r="G33" s="581">
        <v>7</v>
      </c>
      <c r="H33" s="581">
        <v>381</v>
      </c>
      <c r="I33" s="581">
        <v>395</v>
      </c>
      <c r="J33" s="582">
        <v>-14</v>
      </c>
      <c r="K33" s="581">
        <v>12</v>
      </c>
      <c r="L33" s="582">
        <v>32</v>
      </c>
    </row>
    <row r="34" spans="1:12" ht="14.95" thickBot="1" x14ac:dyDescent="0.3">
      <c r="A34" s="578">
        <v>8</v>
      </c>
      <c r="B34" s="579" t="s">
        <v>15</v>
      </c>
      <c r="C34" s="580" t="s">
        <v>49</v>
      </c>
      <c r="D34" s="581">
        <v>13</v>
      </c>
      <c r="E34" s="582">
        <v>4</v>
      </c>
      <c r="F34" s="581">
        <v>1</v>
      </c>
      <c r="G34" s="581">
        <v>8</v>
      </c>
      <c r="H34" s="581">
        <v>348</v>
      </c>
      <c r="I34" s="581">
        <v>379</v>
      </c>
      <c r="J34" s="582">
        <v>-31</v>
      </c>
      <c r="K34" s="581">
        <v>7</v>
      </c>
      <c r="L34" s="582">
        <v>25</v>
      </c>
    </row>
    <row r="35" spans="1:12" ht="14.95" thickBot="1" x14ac:dyDescent="0.3">
      <c r="A35" s="578">
        <v>9</v>
      </c>
      <c r="B35" s="579" t="s">
        <v>15</v>
      </c>
      <c r="C35" s="580" t="s">
        <v>70</v>
      </c>
      <c r="D35" s="581">
        <v>13</v>
      </c>
      <c r="E35" s="582">
        <v>0</v>
      </c>
      <c r="F35" s="581">
        <v>0</v>
      </c>
      <c r="G35" s="581">
        <v>13</v>
      </c>
      <c r="H35" s="581">
        <v>109</v>
      </c>
      <c r="I35" s="581">
        <v>767</v>
      </c>
      <c r="J35" s="582">
        <v>-658</v>
      </c>
      <c r="K35" s="581">
        <v>1</v>
      </c>
      <c r="L35" s="582">
        <v>1</v>
      </c>
    </row>
    <row r="36" spans="1:12" x14ac:dyDescent="0.25">
      <c r="A36" s="62"/>
    </row>
    <row r="37" spans="1:12" x14ac:dyDescent="0.25">
      <c r="A37" s="146" t="s">
        <v>644</v>
      </c>
    </row>
    <row r="38" spans="1:12" ht="14.95" thickBot="1" x14ac:dyDescent="0.3">
      <c r="A38" s="62"/>
    </row>
    <row r="39" spans="1:12" ht="14.95" thickBot="1" x14ac:dyDescent="0.3">
      <c r="A39" s="567" t="s">
        <v>5</v>
      </c>
      <c r="B39" s="568" t="s">
        <v>6</v>
      </c>
      <c r="C39" s="568"/>
      <c r="D39" s="568" t="s">
        <v>7</v>
      </c>
      <c r="E39" s="569" t="s">
        <v>8</v>
      </c>
      <c r="F39" s="568" t="s">
        <v>9</v>
      </c>
      <c r="G39" s="568" t="s">
        <v>10</v>
      </c>
      <c r="H39" s="568" t="s">
        <v>11</v>
      </c>
      <c r="I39" s="568" t="s">
        <v>12</v>
      </c>
      <c r="J39" s="569" t="s">
        <v>51</v>
      </c>
      <c r="K39" s="568" t="s">
        <v>13</v>
      </c>
      <c r="L39" s="569" t="s">
        <v>14</v>
      </c>
    </row>
    <row r="40" spans="1:12" ht="14.95" thickBot="1" x14ac:dyDescent="0.3">
      <c r="A40" s="570" t="s">
        <v>653</v>
      </c>
      <c r="B40" s="421" t="s">
        <v>15</v>
      </c>
      <c r="C40" s="571" t="s">
        <v>63</v>
      </c>
      <c r="D40" s="572">
        <v>12</v>
      </c>
      <c r="E40" s="573">
        <v>12</v>
      </c>
      <c r="F40" s="572">
        <v>0</v>
      </c>
      <c r="G40" s="572">
        <v>0</v>
      </c>
      <c r="H40" s="572">
        <v>490</v>
      </c>
      <c r="I40" s="572">
        <v>241</v>
      </c>
      <c r="J40" s="573">
        <v>249</v>
      </c>
      <c r="K40" s="572">
        <v>12</v>
      </c>
      <c r="L40" s="573">
        <v>60</v>
      </c>
    </row>
    <row r="41" spans="1:12" ht="14.95" thickBot="1" x14ac:dyDescent="0.3">
      <c r="A41" s="570" t="s">
        <v>653</v>
      </c>
      <c r="B41" s="421" t="s">
        <v>15</v>
      </c>
      <c r="C41" s="571" t="s">
        <v>1</v>
      </c>
      <c r="D41" s="572">
        <v>13</v>
      </c>
      <c r="E41" s="573">
        <v>11</v>
      </c>
      <c r="F41" s="572">
        <v>0</v>
      </c>
      <c r="G41" s="572">
        <v>2</v>
      </c>
      <c r="H41" s="572">
        <v>545</v>
      </c>
      <c r="I41" s="572">
        <v>206</v>
      </c>
      <c r="J41" s="573">
        <v>339</v>
      </c>
      <c r="K41" s="572">
        <v>12</v>
      </c>
      <c r="L41" s="573">
        <v>56</v>
      </c>
    </row>
    <row r="42" spans="1:12" ht="14.95" thickBot="1" x14ac:dyDescent="0.3">
      <c r="A42" s="574">
        <v>3</v>
      </c>
      <c r="B42" s="420" t="s">
        <v>15</v>
      </c>
      <c r="C42" s="575" t="s">
        <v>52</v>
      </c>
      <c r="D42" s="576">
        <v>13</v>
      </c>
      <c r="E42" s="577">
        <v>6</v>
      </c>
      <c r="F42" s="576">
        <v>3</v>
      </c>
      <c r="G42" s="576">
        <v>4</v>
      </c>
      <c r="H42" s="576">
        <v>369</v>
      </c>
      <c r="I42" s="576">
        <v>311</v>
      </c>
      <c r="J42" s="577">
        <v>58</v>
      </c>
      <c r="K42" s="576">
        <v>11</v>
      </c>
      <c r="L42" s="577">
        <v>41</v>
      </c>
    </row>
    <row r="43" spans="1:12" ht="14.95" thickBot="1" x14ac:dyDescent="0.3">
      <c r="A43" s="574">
        <v>4</v>
      </c>
      <c r="B43" s="420" t="s">
        <v>15</v>
      </c>
      <c r="C43" s="575" t="s">
        <v>0</v>
      </c>
      <c r="D43" s="576">
        <v>13</v>
      </c>
      <c r="E43" s="577">
        <v>5</v>
      </c>
      <c r="F43" s="576">
        <v>1</v>
      </c>
      <c r="G43" s="576">
        <v>7</v>
      </c>
      <c r="H43" s="576">
        <v>381</v>
      </c>
      <c r="I43" s="576">
        <v>415</v>
      </c>
      <c r="J43" s="577">
        <v>-34</v>
      </c>
      <c r="K43" s="576">
        <v>13</v>
      </c>
      <c r="L43" s="577">
        <v>35</v>
      </c>
    </row>
    <row r="44" spans="1:12" ht="14.95" thickBot="1" x14ac:dyDescent="0.3">
      <c r="A44" s="578">
        <v>5</v>
      </c>
      <c r="B44" s="579" t="s">
        <v>366</v>
      </c>
      <c r="C44" s="580" t="s">
        <v>62</v>
      </c>
      <c r="D44" s="581">
        <v>13</v>
      </c>
      <c r="E44" s="582">
        <v>5</v>
      </c>
      <c r="F44" s="581">
        <v>1</v>
      </c>
      <c r="G44" s="581">
        <v>7</v>
      </c>
      <c r="H44" s="581">
        <v>344</v>
      </c>
      <c r="I44" s="581">
        <v>351</v>
      </c>
      <c r="J44" s="582">
        <v>-7</v>
      </c>
      <c r="K44" s="581">
        <v>11</v>
      </c>
      <c r="L44" s="582">
        <v>33</v>
      </c>
    </row>
    <row r="45" spans="1:12" ht="14.95" thickBot="1" x14ac:dyDescent="0.3">
      <c r="A45" s="578">
        <v>6</v>
      </c>
      <c r="B45" s="579" t="s">
        <v>367</v>
      </c>
      <c r="C45" s="580" t="s">
        <v>100</v>
      </c>
      <c r="D45" s="581">
        <v>12</v>
      </c>
      <c r="E45" s="582">
        <v>4</v>
      </c>
      <c r="F45" s="581">
        <v>2</v>
      </c>
      <c r="G45" s="581">
        <v>6</v>
      </c>
      <c r="H45" s="581">
        <v>377</v>
      </c>
      <c r="I45" s="581">
        <v>345</v>
      </c>
      <c r="J45" s="582">
        <v>32</v>
      </c>
      <c r="K45" s="581">
        <v>12</v>
      </c>
      <c r="L45" s="582">
        <v>32</v>
      </c>
    </row>
    <row r="46" spans="1:12" ht="14.95" thickBot="1" x14ac:dyDescent="0.3">
      <c r="A46" s="578">
        <v>7</v>
      </c>
      <c r="B46" s="579" t="s">
        <v>366</v>
      </c>
      <c r="C46" s="580" t="s">
        <v>540</v>
      </c>
      <c r="D46" s="581">
        <v>12</v>
      </c>
      <c r="E46" s="582">
        <v>4</v>
      </c>
      <c r="F46" s="581">
        <v>2</v>
      </c>
      <c r="G46" s="581">
        <v>6</v>
      </c>
      <c r="H46" s="581">
        <v>343</v>
      </c>
      <c r="I46" s="581">
        <v>352</v>
      </c>
      <c r="J46" s="582">
        <v>-9</v>
      </c>
      <c r="K46" s="581">
        <v>10</v>
      </c>
      <c r="L46" s="582">
        <v>30</v>
      </c>
    </row>
    <row r="47" spans="1:12" ht="14.95" thickBot="1" x14ac:dyDescent="0.3">
      <c r="A47" s="578">
        <v>8</v>
      </c>
      <c r="B47" s="579" t="s">
        <v>367</v>
      </c>
      <c r="C47" s="580" t="s">
        <v>49</v>
      </c>
      <c r="D47" s="581">
        <v>12</v>
      </c>
      <c r="E47" s="582">
        <v>4</v>
      </c>
      <c r="F47" s="581">
        <v>1</v>
      </c>
      <c r="G47" s="581">
        <v>7</v>
      </c>
      <c r="H47" s="581">
        <v>341</v>
      </c>
      <c r="I47" s="581">
        <v>354</v>
      </c>
      <c r="J47" s="582">
        <v>-13</v>
      </c>
      <c r="K47" s="581">
        <v>7</v>
      </c>
      <c r="L47" s="582">
        <v>25</v>
      </c>
    </row>
    <row r="48" spans="1:12" ht="14.95" thickBot="1" x14ac:dyDescent="0.3">
      <c r="A48" s="578">
        <v>9</v>
      </c>
      <c r="B48" s="579" t="s">
        <v>15</v>
      </c>
      <c r="C48" s="580" t="s">
        <v>70</v>
      </c>
      <c r="D48" s="581">
        <v>12</v>
      </c>
      <c r="E48" s="582">
        <v>0</v>
      </c>
      <c r="F48" s="581">
        <v>0</v>
      </c>
      <c r="G48" s="581">
        <v>12</v>
      </c>
      <c r="H48" s="581">
        <v>109</v>
      </c>
      <c r="I48" s="581">
        <v>724</v>
      </c>
      <c r="J48" s="582">
        <v>-615</v>
      </c>
      <c r="K48" s="581">
        <v>1</v>
      </c>
      <c r="L48" s="582">
        <v>1</v>
      </c>
    </row>
    <row r="49" spans="1:12" x14ac:dyDescent="0.25">
      <c r="A49" s="62"/>
    </row>
    <row r="50" spans="1:12" x14ac:dyDescent="0.25">
      <c r="A50" s="146" t="s">
        <v>627</v>
      </c>
    </row>
    <row r="51" spans="1:12" ht="14.95" thickBot="1" x14ac:dyDescent="0.3">
      <c r="A51" s="62"/>
    </row>
    <row r="52" spans="1:12" ht="14.95" thickBot="1" x14ac:dyDescent="0.3">
      <c r="A52" s="567" t="s">
        <v>5</v>
      </c>
      <c r="B52" s="568" t="s">
        <v>6</v>
      </c>
      <c r="C52" s="568"/>
      <c r="D52" s="568" t="s">
        <v>7</v>
      </c>
      <c r="E52" s="569" t="s">
        <v>8</v>
      </c>
      <c r="F52" s="568" t="s">
        <v>9</v>
      </c>
      <c r="G52" s="568" t="s">
        <v>10</v>
      </c>
      <c r="H52" s="568" t="s">
        <v>11</v>
      </c>
      <c r="I52" s="568" t="s">
        <v>12</v>
      </c>
      <c r="J52" s="569" t="s">
        <v>51</v>
      </c>
      <c r="K52" s="568" t="s">
        <v>13</v>
      </c>
      <c r="L52" s="569" t="s">
        <v>14</v>
      </c>
    </row>
    <row r="53" spans="1:12" ht="14.95" thickBot="1" x14ac:dyDescent="0.3">
      <c r="A53" s="570" t="s">
        <v>637</v>
      </c>
      <c r="B53" s="421" t="s">
        <v>15</v>
      </c>
      <c r="C53" s="571" t="s">
        <v>1</v>
      </c>
      <c r="D53" s="572">
        <v>12</v>
      </c>
      <c r="E53" s="573">
        <v>11</v>
      </c>
      <c r="F53" s="572">
        <v>0</v>
      </c>
      <c r="G53" s="572">
        <v>1</v>
      </c>
      <c r="H53" s="572">
        <v>528</v>
      </c>
      <c r="I53" s="572">
        <v>184</v>
      </c>
      <c r="J53" s="573">
        <v>344</v>
      </c>
      <c r="K53" s="572">
        <v>11</v>
      </c>
      <c r="L53" s="573">
        <v>55</v>
      </c>
    </row>
    <row r="54" spans="1:12" ht="14.95" thickBot="1" x14ac:dyDescent="0.3">
      <c r="A54" s="570" t="s">
        <v>637</v>
      </c>
      <c r="B54" s="421" t="s">
        <v>15</v>
      </c>
      <c r="C54" s="571" t="s">
        <v>63</v>
      </c>
      <c r="D54" s="572">
        <v>11</v>
      </c>
      <c r="E54" s="573">
        <v>11</v>
      </c>
      <c r="F54" s="572">
        <v>0</v>
      </c>
      <c r="G54" s="572">
        <v>0</v>
      </c>
      <c r="H54" s="572">
        <v>468</v>
      </c>
      <c r="I54" s="572">
        <v>224</v>
      </c>
      <c r="J54" s="573">
        <v>244</v>
      </c>
      <c r="K54" s="572">
        <v>11</v>
      </c>
      <c r="L54" s="573">
        <v>55</v>
      </c>
    </row>
    <row r="55" spans="1:12" ht="14.95" thickBot="1" x14ac:dyDescent="0.3">
      <c r="A55" s="574">
        <v>3</v>
      </c>
      <c r="B55" s="420" t="s">
        <v>15</v>
      </c>
      <c r="C55" s="575" t="s">
        <v>52</v>
      </c>
      <c r="D55" s="576">
        <v>12</v>
      </c>
      <c r="E55" s="577">
        <v>5</v>
      </c>
      <c r="F55" s="576">
        <v>3</v>
      </c>
      <c r="G55" s="576">
        <v>4</v>
      </c>
      <c r="H55" s="576">
        <v>322</v>
      </c>
      <c r="I55" s="576">
        <v>297</v>
      </c>
      <c r="J55" s="577">
        <v>25</v>
      </c>
      <c r="K55" s="576">
        <v>10</v>
      </c>
      <c r="L55" s="577">
        <v>36</v>
      </c>
    </row>
    <row r="56" spans="1:12" ht="14.95" thickBot="1" x14ac:dyDescent="0.3">
      <c r="A56" s="574">
        <v>4</v>
      </c>
      <c r="B56" s="420" t="s">
        <v>15</v>
      </c>
      <c r="C56" s="575" t="s">
        <v>0</v>
      </c>
      <c r="D56" s="576">
        <v>12</v>
      </c>
      <c r="E56" s="577">
        <v>5</v>
      </c>
      <c r="F56" s="576">
        <v>1</v>
      </c>
      <c r="G56" s="576">
        <v>6</v>
      </c>
      <c r="H56" s="576">
        <v>348</v>
      </c>
      <c r="I56" s="576">
        <v>372</v>
      </c>
      <c r="J56" s="577">
        <v>-24</v>
      </c>
      <c r="K56" s="576">
        <v>12</v>
      </c>
      <c r="L56" s="577">
        <v>34</v>
      </c>
    </row>
    <row r="57" spans="1:12" ht="14.95" thickBot="1" x14ac:dyDescent="0.3">
      <c r="A57" s="578">
        <v>5</v>
      </c>
      <c r="B57" s="579" t="s">
        <v>15</v>
      </c>
      <c r="C57" s="580" t="s">
        <v>100</v>
      </c>
      <c r="D57" s="581">
        <v>11</v>
      </c>
      <c r="E57" s="582">
        <v>4</v>
      </c>
      <c r="F57" s="581">
        <v>2</v>
      </c>
      <c r="G57" s="581">
        <v>5</v>
      </c>
      <c r="H57" s="581">
        <v>363</v>
      </c>
      <c r="I57" s="581">
        <v>298</v>
      </c>
      <c r="J57" s="582">
        <v>65</v>
      </c>
      <c r="K57" s="581">
        <v>12</v>
      </c>
      <c r="L57" s="582">
        <v>32</v>
      </c>
    </row>
    <row r="58" spans="1:12" ht="14.95" thickBot="1" x14ac:dyDescent="0.3">
      <c r="A58" s="578">
        <v>6</v>
      </c>
      <c r="B58" s="579" t="s">
        <v>366</v>
      </c>
      <c r="C58" s="580" t="s">
        <v>62</v>
      </c>
      <c r="D58" s="581">
        <v>12</v>
      </c>
      <c r="E58" s="582">
        <v>4</v>
      </c>
      <c r="F58" s="581">
        <v>1</v>
      </c>
      <c r="G58" s="581">
        <v>7</v>
      </c>
      <c r="H58" s="581">
        <v>282</v>
      </c>
      <c r="I58" s="581">
        <v>348</v>
      </c>
      <c r="J58" s="582">
        <v>-66</v>
      </c>
      <c r="K58" s="581">
        <v>10</v>
      </c>
      <c r="L58" s="582">
        <v>28</v>
      </c>
    </row>
    <row r="59" spans="1:12" ht="14.95" thickBot="1" x14ac:dyDescent="0.3">
      <c r="A59" s="578">
        <v>7</v>
      </c>
      <c r="B59" s="579" t="s">
        <v>366</v>
      </c>
      <c r="C59" s="580" t="s">
        <v>49</v>
      </c>
      <c r="D59" s="581">
        <v>12</v>
      </c>
      <c r="E59" s="582">
        <v>4</v>
      </c>
      <c r="F59" s="581">
        <v>1</v>
      </c>
      <c r="G59" s="581">
        <v>7</v>
      </c>
      <c r="H59" s="581">
        <v>341</v>
      </c>
      <c r="I59" s="581">
        <v>354</v>
      </c>
      <c r="J59" s="582">
        <v>-13</v>
      </c>
      <c r="K59" s="581">
        <v>7</v>
      </c>
      <c r="L59" s="582">
        <v>25</v>
      </c>
    </row>
    <row r="60" spans="1:12" ht="14.95" thickBot="1" x14ac:dyDescent="0.3">
      <c r="A60" s="578">
        <v>8</v>
      </c>
      <c r="B60" s="579" t="s">
        <v>486</v>
      </c>
      <c r="C60" s="580" t="s">
        <v>540</v>
      </c>
      <c r="D60" s="581">
        <v>11</v>
      </c>
      <c r="E60" s="582">
        <v>3</v>
      </c>
      <c r="F60" s="581">
        <v>2</v>
      </c>
      <c r="G60" s="581">
        <v>6</v>
      </c>
      <c r="H60" s="581">
        <v>300</v>
      </c>
      <c r="I60" s="581">
        <v>319</v>
      </c>
      <c r="J60" s="582">
        <v>-19</v>
      </c>
      <c r="K60" s="581">
        <v>9</v>
      </c>
      <c r="L60" s="582">
        <v>25</v>
      </c>
    </row>
    <row r="61" spans="1:12" ht="14.95" thickBot="1" x14ac:dyDescent="0.3">
      <c r="A61" s="578">
        <v>9</v>
      </c>
      <c r="B61" s="579" t="s">
        <v>15</v>
      </c>
      <c r="C61" s="580" t="s">
        <v>70</v>
      </c>
      <c r="D61" s="581">
        <v>11</v>
      </c>
      <c r="E61" s="582">
        <v>0</v>
      </c>
      <c r="F61" s="581">
        <v>0</v>
      </c>
      <c r="G61" s="581">
        <v>11</v>
      </c>
      <c r="H61" s="581">
        <v>106</v>
      </c>
      <c r="I61" s="581">
        <v>662</v>
      </c>
      <c r="J61" s="582">
        <v>-556</v>
      </c>
      <c r="K61" s="581">
        <v>1</v>
      </c>
      <c r="L61" s="582">
        <v>1</v>
      </c>
    </row>
    <row r="62" spans="1:12" x14ac:dyDescent="0.25">
      <c r="A62" s="62"/>
    </row>
    <row r="63" spans="1:12" x14ac:dyDescent="0.25">
      <c r="A63" s="146" t="s">
        <v>615</v>
      </c>
    </row>
    <row r="64" spans="1:12" ht="14.95" thickBot="1" x14ac:dyDescent="0.3">
      <c r="A64" s="62"/>
    </row>
    <row r="65" spans="1:12" ht="14.95" thickBot="1" x14ac:dyDescent="0.3">
      <c r="A65" s="567" t="s">
        <v>5</v>
      </c>
      <c r="B65" s="568" t="s">
        <v>6</v>
      </c>
      <c r="C65" s="568"/>
      <c r="D65" s="568" t="s">
        <v>7</v>
      </c>
      <c r="E65" s="569" t="s">
        <v>8</v>
      </c>
      <c r="F65" s="568" t="s">
        <v>9</v>
      </c>
      <c r="G65" s="568" t="s">
        <v>10</v>
      </c>
      <c r="H65" s="568" t="s">
        <v>11</v>
      </c>
      <c r="I65" s="568" t="s">
        <v>12</v>
      </c>
      <c r="J65" s="569" t="s">
        <v>51</v>
      </c>
      <c r="K65" s="568" t="s">
        <v>13</v>
      </c>
      <c r="L65" s="569" t="s">
        <v>14</v>
      </c>
    </row>
    <row r="66" spans="1:12" ht="14.95" thickBot="1" x14ac:dyDescent="0.3">
      <c r="A66" s="570">
        <v>1</v>
      </c>
      <c r="B66" s="421" t="s">
        <v>15</v>
      </c>
      <c r="C66" s="571" t="s">
        <v>1</v>
      </c>
      <c r="D66" s="572">
        <v>11</v>
      </c>
      <c r="E66" s="573">
        <v>10</v>
      </c>
      <c r="F66" s="572">
        <v>0</v>
      </c>
      <c r="G66" s="572">
        <v>1</v>
      </c>
      <c r="H66" s="572">
        <v>485</v>
      </c>
      <c r="I66" s="572">
        <v>158</v>
      </c>
      <c r="J66" s="573">
        <v>327</v>
      </c>
      <c r="K66" s="572">
        <v>10</v>
      </c>
      <c r="L66" s="573">
        <v>50</v>
      </c>
    </row>
    <row r="67" spans="1:12" ht="14.95" thickBot="1" x14ac:dyDescent="0.3">
      <c r="A67" s="570">
        <v>2</v>
      </c>
      <c r="B67" s="421" t="s">
        <v>15</v>
      </c>
      <c r="C67" s="571" t="s">
        <v>63</v>
      </c>
      <c r="D67" s="572">
        <v>10</v>
      </c>
      <c r="E67" s="573">
        <v>10</v>
      </c>
      <c r="F67" s="572">
        <v>0</v>
      </c>
      <c r="G67" s="572">
        <v>0</v>
      </c>
      <c r="H67" s="572">
        <v>430</v>
      </c>
      <c r="I67" s="572">
        <v>204</v>
      </c>
      <c r="J67" s="573">
        <v>226</v>
      </c>
      <c r="K67" s="572">
        <v>10</v>
      </c>
      <c r="L67" s="573">
        <v>50</v>
      </c>
    </row>
    <row r="68" spans="1:12" ht="14.95" thickBot="1" x14ac:dyDescent="0.3">
      <c r="A68" s="574">
        <v>3</v>
      </c>
      <c r="B68" s="420" t="s">
        <v>366</v>
      </c>
      <c r="C68" s="575" t="s">
        <v>52</v>
      </c>
      <c r="D68" s="576">
        <v>11</v>
      </c>
      <c r="E68" s="577">
        <v>5</v>
      </c>
      <c r="F68" s="576">
        <v>3</v>
      </c>
      <c r="G68" s="576">
        <v>3</v>
      </c>
      <c r="H68" s="576">
        <v>302</v>
      </c>
      <c r="I68" s="576">
        <v>259</v>
      </c>
      <c r="J68" s="577">
        <v>43</v>
      </c>
      <c r="K68" s="576">
        <v>9</v>
      </c>
      <c r="L68" s="577">
        <v>35</v>
      </c>
    </row>
    <row r="69" spans="1:12" ht="14.95" thickBot="1" x14ac:dyDescent="0.3">
      <c r="A69" s="574">
        <v>4</v>
      </c>
      <c r="B69" s="420" t="s">
        <v>367</v>
      </c>
      <c r="C69" s="575" t="s">
        <v>0</v>
      </c>
      <c r="D69" s="576">
        <v>11</v>
      </c>
      <c r="E69" s="577">
        <v>5</v>
      </c>
      <c r="F69" s="576">
        <v>1</v>
      </c>
      <c r="G69" s="576">
        <v>5</v>
      </c>
      <c r="H69" s="576">
        <v>322</v>
      </c>
      <c r="I69" s="576">
        <v>329</v>
      </c>
      <c r="J69" s="577">
        <v>-7</v>
      </c>
      <c r="K69" s="576">
        <v>11</v>
      </c>
      <c r="L69" s="577">
        <v>33</v>
      </c>
    </row>
    <row r="70" spans="1:12" ht="14.95" thickBot="1" x14ac:dyDescent="0.3">
      <c r="A70" s="578">
        <v>5</v>
      </c>
      <c r="B70" s="579" t="s">
        <v>15</v>
      </c>
      <c r="C70" s="580" t="s">
        <v>100</v>
      </c>
      <c r="D70" s="581">
        <v>11</v>
      </c>
      <c r="E70" s="582">
        <v>4</v>
      </c>
      <c r="F70" s="581">
        <v>2</v>
      </c>
      <c r="G70" s="581">
        <v>5</v>
      </c>
      <c r="H70" s="581">
        <v>363</v>
      </c>
      <c r="I70" s="581">
        <v>298</v>
      </c>
      <c r="J70" s="582">
        <v>65</v>
      </c>
      <c r="K70" s="581">
        <v>12</v>
      </c>
      <c r="L70" s="582">
        <v>32</v>
      </c>
    </row>
    <row r="71" spans="1:12" ht="14.95" thickBot="1" x14ac:dyDescent="0.3">
      <c r="A71" s="578">
        <v>6</v>
      </c>
      <c r="B71" s="579" t="s">
        <v>15</v>
      </c>
      <c r="C71" s="580" t="s">
        <v>540</v>
      </c>
      <c r="D71" s="581">
        <v>10</v>
      </c>
      <c r="E71" s="582">
        <v>3</v>
      </c>
      <c r="F71" s="581">
        <v>2</v>
      </c>
      <c r="G71" s="581">
        <v>5</v>
      </c>
      <c r="H71" s="581">
        <v>271</v>
      </c>
      <c r="I71" s="581">
        <v>288</v>
      </c>
      <c r="J71" s="582">
        <v>-17</v>
      </c>
      <c r="K71" s="581">
        <v>7</v>
      </c>
      <c r="L71" s="582">
        <v>23</v>
      </c>
    </row>
    <row r="72" spans="1:12" ht="14.95" thickBot="1" x14ac:dyDescent="0.3">
      <c r="A72" s="578">
        <v>7</v>
      </c>
      <c r="B72" s="579" t="s">
        <v>15</v>
      </c>
      <c r="C72" s="580" t="s">
        <v>62</v>
      </c>
      <c r="D72" s="581">
        <v>11</v>
      </c>
      <c r="E72" s="582">
        <v>3</v>
      </c>
      <c r="F72" s="581">
        <v>1</v>
      </c>
      <c r="G72" s="581">
        <v>7</v>
      </c>
      <c r="H72" s="581">
        <v>251</v>
      </c>
      <c r="I72" s="581">
        <v>319</v>
      </c>
      <c r="J72" s="582">
        <v>-68</v>
      </c>
      <c r="K72" s="581">
        <v>9</v>
      </c>
      <c r="L72" s="582">
        <v>23</v>
      </c>
    </row>
    <row r="73" spans="1:12" ht="14.95" thickBot="1" x14ac:dyDescent="0.3">
      <c r="A73" s="578">
        <v>8</v>
      </c>
      <c r="B73" s="579" t="s">
        <v>15</v>
      </c>
      <c r="C73" s="580" t="s">
        <v>49</v>
      </c>
      <c r="D73" s="581">
        <v>11</v>
      </c>
      <c r="E73" s="582">
        <v>3</v>
      </c>
      <c r="F73" s="581">
        <v>1</v>
      </c>
      <c r="G73" s="581">
        <v>7</v>
      </c>
      <c r="H73" s="581">
        <v>273</v>
      </c>
      <c r="I73" s="581">
        <v>354</v>
      </c>
      <c r="J73" s="582">
        <v>-81</v>
      </c>
      <c r="K73" s="581">
        <v>6</v>
      </c>
      <c r="L73" s="582">
        <v>20</v>
      </c>
    </row>
    <row r="74" spans="1:12" ht="14.95" thickBot="1" x14ac:dyDescent="0.3">
      <c r="A74" s="578">
        <v>9</v>
      </c>
      <c r="B74" s="579" t="s">
        <v>15</v>
      </c>
      <c r="C74" s="580" t="s">
        <v>70</v>
      </c>
      <c r="D74" s="581">
        <v>10</v>
      </c>
      <c r="E74" s="582">
        <v>0</v>
      </c>
      <c r="F74" s="581">
        <v>0</v>
      </c>
      <c r="G74" s="581">
        <v>10</v>
      </c>
      <c r="H74" s="581">
        <v>106</v>
      </c>
      <c r="I74" s="581">
        <v>594</v>
      </c>
      <c r="J74" s="582">
        <v>-488</v>
      </c>
      <c r="K74" s="581">
        <v>1</v>
      </c>
      <c r="L74" s="582">
        <v>1</v>
      </c>
    </row>
    <row r="75" spans="1:12" x14ac:dyDescent="0.25">
      <c r="A75" s="62"/>
    </row>
    <row r="76" spans="1:12" x14ac:dyDescent="0.25">
      <c r="A76" s="146" t="s">
        <v>599</v>
      </c>
    </row>
    <row r="77" spans="1:12" ht="14.95" thickBot="1" x14ac:dyDescent="0.3">
      <c r="A77" s="62"/>
    </row>
    <row r="78" spans="1:12" ht="14.95" thickBot="1" x14ac:dyDescent="0.3">
      <c r="A78" s="567" t="s">
        <v>5</v>
      </c>
      <c r="B78" s="568" t="s">
        <v>6</v>
      </c>
      <c r="C78" s="568"/>
      <c r="D78" s="568" t="s">
        <v>7</v>
      </c>
      <c r="E78" s="569" t="s">
        <v>8</v>
      </c>
      <c r="F78" s="568" t="s">
        <v>9</v>
      </c>
      <c r="G78" s="568" t="s">
        <v>10</v>
      </c>
      <c r="H78" s="568" t="s">
        <v>11</v>
      </c>
      <c r="I78" s="568" t="s">
        <v>12</v>
      </c>
      <c r="J78" s="569" t="s">
        <v>51</v>
      </c>
      <c r="K78" s="568" t="s">
        <v>13</v>
      </c>
      <c r="L78" s="569" t="s">
        <v>14</v>
      </c>
    </row>
    <row r="79" spans="1:12" ht="14.95" thickBot="1" x14ac:dyDescent="0.3">
      <c r="A79" s="570">
        <v>1</v>
      </c>
      <c r="B79" s="421" t="s">
        <v>15</v>
      </c>
      <c r="C79" s="571" t="s">
        <v>63</v>
      </c>
      <c r="D79" s="572">
        <v>10</v>
      </c>
      <c r="E79" s="573">
        <v>10</v>
      </c>
      <c r="F79" s="572">
        <v>0</v>
      </c>
      <c r="G79" s="572">
        <v>0</v>
      </c>
      <c r="H79" s="572">
        <v>430</v>
      </c>
      <c r="I79" s="572">
        <v>204</v>
      </c>
      <c r="J79" s="573">
        <v>226</v>
      </c>
      <c r="K79" s="572">
        <v>10</v>
      </c>
      <c r="L79" s="573">
        <v>50</v>
      </c>
    </row>
    <row r="80" spans="1:12" ht="14.95" thickBot="1" x14ac:dyDescent="0.3">
      <c r="A80" s="570">
        <v>2</v>
      </c>
      <c r="B80" s="421" t="s">
        <v>15</v>
      </c>
      <c r="C80" s="571" t="s">
        <v>1</v>
      </c>
      <c r="D80" s="572">
        <v>10</v>
      </c>
      <c r="E80" s="573">
        <v>9</v>
      </c>
      <c r="F80" s="572">
        <v>0</v>
      </c>
      <c r="G80" s="572">
        <v>1</v>
      </c>
      <c r="H80" s="572">
        <v>440</v>
      </c>
      <c r="I80" s="572">
        <v>151</v>
      </c>
      <c r="J80" s="573">
        <v>289</v>
      </c>
      <c r="K80" s="572">
        <v>9</v>
      </c>
      <c r="L80" s="573">
        <v>45</v>
      </c>
    </row>
    <row r="81" spans="1:12" ht="14.95" thickBot="1" x14ac:dyDescent="0.3">
      <c r="A81" s="574">
        <v>3</v>
      </c>
      <c r="B81" s="420" t="s">
        <v>366</v>
      </c>
      <c r="C81" s="575" t="s">
        <v>52</v>
      </c>
      <c r="D81" s="576">
        <v>10</v>
      </c>
      <c r="E81" s="577">
        <v>5</v>
      </c>
      <c r="F81" s="576">
        <v>3</v>
      </c>
      <c r="G81" s="576">
        <v>2</v>
      </c>
      <c r="H81" s="576">
        <v>295</v>
      </c>
      <c r="I81" s="576">
        <v>214</v>
      </c>
      <c r="J81" s="577">
        <v>81</v>
      </c>
      <c r="K81" s="576">
        <v>9</v>
      </c>
      <c r="L81" s="577">
        <v>35</v>
      </c>
    </row>
    <row r="82" spans="1:12" ht="14.95" thickBot="1" x14ac:dyDescent="0.3">
      <c r="A82" s="574">
        <v>4</v>
      </c>
      <c r="B82" s="420" t="s">
        <v>367</v>
      </c>
      <c r="C82" s="575" t="s">
        <v>0</v>
      </c>
      <c r="D82" s="576">
        <v>10</v>
      </c>
      <c r="E82" s="577">
        <v>5</v>
      </c>
      <c r="F82" s="576">
        <v>1</v>
      </c>
      <c r="G82" s="576">
        <v>4</v>
      </c>
      <c r="H82" s="576">
        <v>310</v>
      </c>
      <c r="I82" s="576">
        <v>314</v>
      </c>
      <c r="J82" s="577">
        <v>-4</v>
      </c>
      <c r="K82" s="576">
        <v>10</v>
      </c>
      <c r="L82" s="577">
        <v>32</v>
      </c>
    </row>
    <row r="83" spans="1:12" ht="14.95" thickBot="1" x14ac:dyDescent="0.3">
      <c r="A83" s="578">
        <v>5</v>
      </c>
      <c r="B83" s="579" t="s">
        <v>15</v>
      </c>
      <c r="C83" s="580" t="s">
        <v>100</v>
      </c>
      <c r="D83" s="581">
        <v>10</v>
      </c>
      <c r="E83" s="582">
        <v>3</v>
      </c>
      <c r="F83" s="581">
        <v>2</v>
      </c>
      <c r="G83" s="581">
        <v>5</v>
      </c>
      <c r="H83" s="581">
        <v>323</v>
      </c>
      <c r="I83" s="581">
        <v>279</v>
      </c>
      <c r="J83" s="582">
        <v>44</v>
      </c>
      <c r="K83" s="581">
        <v>11</v>
      </c>
      <c r="L83" s="582">
        <v>27</v>
      </c>
    </row>
    <row r="84" spans="1:12" ht="14.95" thickBot="1" x14ac:dyDescent="0.3">
      <c r="A84" s="578">
        <v>6</v>
      </c>
      <c r="B84" s="579" t="s">
        <v>15</v>
      </c>
      <c r="C84" s="580" t="s">
        <v>540</v>
      </c>
      <c r="D84" s="581">
        <v>9</v>
      </c>
      <c r="E84" s="582">
        <v>3</v>
      </c>
      <c r="F84" s="581">
        <v>2</v>
      </c>
      <c r="G84" s="581">
        <v>4</v>
      </c>
      <c r="H84" s="581">
        <v>250</v>
      </c>
      <c r="I84" s="581">
        <v>264</v>
      </c>
      <c r="J84" s="582">
        <v>-14</v>
      </c>
      <c r="K84" s="581">
        <v>6</v>
      </c>
      <c r="L84" s="582">
        <v>22</v>
      </c>
    </row>
    <row r="85" spans="1:12" ht="14.95" thickBot="1" x14ac:dyDescent="0.3">
      <c r="A85" s="578">
        <v>7</v>
      </c>
      <c r="B85" s="579" t="s">
        <v>15</v>
      </c>
      <c r="C85" s="580" t="s">
        <v>62</v>
      </c>
      <c r="D85" s="581">
        <v>10</v>
      </c>
      <c r="E85" s="582">
        <v>2</v>
      </c>
      <c r="F85" s="581">
        <v>1</v>
      </c>
      <c r="G85" s="581">
        <v>7</v>
      </c>
      <c r="H85" s="581">
        <v>236</v>
      </c>
      <c r="I85" s="581">
        <v>307</v>
      </c>
      <c r="J85" s="582">
        <v>-71</v>
      </c>
      <c r="K85" s="581">
        <v>9</v>
      </c>
      <c r="L85" s="582">
        <v>19</v>
      </c>
    </row>
    <row r="86" spans="1:12" ht="14.95" thickBot="1" x14ac:dyDescent="0.3">
      <c r="A86" s="578">
        <v>8</v>
      </c>
      <c r="B86" s="579" t="s">
        <v>15</v>
      </c>
      <c r="C86" s="580" t="s">
        <v>49</v>
      </c>
      <c r="D86" s="581">
        <v>10</v>
      </c>
      <c r="E86" s="582">
        <v>2</v>
      </c>
      <c r="F86" s="581">
        <v>1</v>
      </c>
      <c r="G86" s="581">
        <v>7</v>
      </c>
      <c r="H86" s="581">
        <v>249</v>
      </c>
      <c r="I86" s="581">
        <v>333</v>
      </c>
      <c r="J86" s="582">
        <v>-84</v>
      </c>
      <c r="K86" s="581">
        <v>5</v>
      </c>
      <c r="L86" s="582">
        <v>15</v>
      </c>
    </row>
    <row r="87" spans="1:12" ht="14.95" thickBot="1" x14ac:dyDescent="0.3">
      <c r="A87" s="578">
        <v>9</v>
      </c>
      <c r="B87" s="579" t="s">
        <v>15</v>
      </c>
      <c r="C87" s="580" t="s">
        <v>70</v>
      </c>
      <c r="D87" s="581">
        <v>9</v>
      </c>
      <c r="E87" s="582">
        <v>0</v>
      </c>
      <c r="F87" s="581">
        <v>0</v>
      </c>
      <c r="G87" s="581">
        <v>9</v>
      </c>
      <c r="H87" s="581">
        <v>87</v>
      </c>
      <c r="I87" s="581">
        <v>554</v>
      </c>
      <c r="J87" s="582">
        <v>-467</v>
      </c>
      <c r="K87" s="581">
        <v>1</v>
      </c>
      <c r="L87" s="582">
        <v>1</v>
      </c>
    </row>
    <row r="88" spans="1:12" x14ac:dyDescent="0.25">
      <c r="A88" s="62"/>
    </row>
    <row r="89" spans="1:12" x14ac:dyDescent="0.25">
      <c r="A89" s="146" t="s">
        <v>578</v>
      </c>
    </row>
    <row r="90" spans="1:12" ht="14.95" thickBot="1" x14ac:dyDescent="0.3">
      <c r="A90" s="62"/>
    </row>
    <row r="91" spans="1:12" ht="14.95" thickBot="1" x14ac:dyDescent="0.3">
      <c r="A91" s="567" t="s">
        <v>5</v>
      </c>
      <c r="B91" s="568" t="s">
        <v>6</v>
      </c>
      <c r="C91" s="568"/>
      <c r="D91" s="568" t="s">
        <v>7</v>
      </c>
      <c r="E91" s="569" t="s">
        <v>8</v>
      </c>
      <c r="F91" s="568" t="s">
        <v>9</v>
      </c>
      <c r="G91" s="568" t="s">
        <v>10</v>
      </c>
      <c r="H91" s="568" t="s">
        <v>11</v>
      </c>
      <c r="I91" s="568" t="s">
        <v>12</v>
      </c>
      <c r="J91" s="569" t="s">
        <v>51</v>
      </c>
      <c r="K91" s="568" t="s">
        <v>13</v>
      </c>
      <c r="L91" s="569" t="s">
        <v>14</v>
      </c>
    </row>
    <row r="92" spans="1:12" ht="14.95" thickBot="1" x14ac:dyDescent="0.3">
      <c r="A92" s="570">
        <v>1</v>
      </c>
      <c r="B92" s="421" t="s">
        <v>15</v>
      </c>
      <c r="C92" s="571" t="s">
        <v>63</v>
      </c>
      <c r="D92" s="572">
        <v>9</v>
      </c>
      <c r="E92" s="573">
        <v>9</v>
      </c>
      <c r="F92" s="572">
        <v>0</v>
      </c>
      <c r="G92" s="572">
        <v>0</v>
      </c>
      <c r="H92" s="572">
        <v>385</v>
      </c>
      <c r="I92" s="572">
        <v>182</v>
      </c>
      <c r="J92" s="573">
        <v>203</v>
      </c>
      <c r="K92" s="572">
        <v>9</v>
      </c>
      <c r="L92" s="573">
        <v>45</v>
      </c>
    </row>
    <row r="93" spans="1:12" ht="14.95" thickBot="1" x14ac:dyDescent="0.3">
      <c r="A93" s="570">
        <v>2</v>
      </c>
      <c r="B93" s="421" t="s">
        <v>15</v>
      </c>
      <c r="C93" s="571" t="s">
        <v>1</v>
      </c>
      <c r="D93" s="572">
        <v>9</v>
      </c>
      <c r="E93" s="573">
        <v>8</v>
      </c>
      <c r="F93" s="572">
        <v>0</v>
      </c>
      <c r="G93" s="572">
        <v>1</v>
      </c>
      <c r="H93" s="572">
        <v>404</v>
      </c>
      <c r="I93" s="572">
        <v>118</v>
      </c>
      <c r="J93" s="573">
        <v>286</v>
      </c>
      <c r="K93" s="572">
        <v>8</v>
      </c>
      <c r="L93" s="573">
        <v>40</v>
      </c>
    </row>
    <row r="94" spans="1:12" ht="14.95" thickBot="1" x14ac:dyDescent="0.3">
      <c r="A94" s="574">
        <v>3</v>
      </c>
      <c r="B94" s="420" t="s">
        <v>15</v>
      </c>
      <c r="C94" s="575" t="s">
        <v>0</v>
      </c>
      <c r="D94" s="576">
        <v>9</v>
      </c>
      <c r="E94" s="577">
        <v>5</v>
      </c>
      <c r="F94" s="576">
        <v>1</v>
      </c>
      <c r="G94" s="576">
        <v>3</v>
      </c>
      <c r="H94" s="576">
        <v>288</v>
      </c>
      <c r="I94" s="576">
        <v>269</v>
      </c>
      <c r="J94" s="577">
        <v>19</v>
      </c>
      <c r="K94" s="576">
        <v>9</v>
      </c>
      <c r="L94" s="577">
        <v>31</v>
      </c>
    </row>
    <row r="95" spans="1:12" ht="14.95" thickBot="1" x14ac:dyDescent="0.3">
      <c r="A95" s="574">
        <v>4</v>
      </c>
      <c r="B95" s="420" t="s">
        <v>15</v>
      </c>
      <c r="C95" s="575" t="s">
        <v>52</v>
      </c>
      <c r="D95" s="576">
        <v>9</v>
      </c>
      <c r="E95" s="577">
        <v>4</v>
      </c>
      <c r="F95" s="576">
        <v>3</v>
      </c>
      <c r="G95" s="576">
        <v>2</v>
      </c>
      <c r="H95" s="576">
        <v>269</v>
      </c>
      <c r="I95" s="576">
        <v>209</v>
      </c>
      <c r="J95" s="577">
        <v>60</v>
      </c>
      <c r="K95" s="576">
        <v>8</v>
      </c>
      <c r="L95" s="577">
        <v>30</v>
      </c>
    </row>
    <row r="96" spans="1:12" ht="14.95" thickBot="1" x14ac:dyDescent="0.3">
      <c r="A96" s="578">
        <v>5</v>
      </c>
      <c r="B96" s="579" t="s">
        <v>15</v>
      </c>
      <c r="C96" s="580" t="s">
        <v>100</v>
      </c>
      <c r="D96" s="581">
        <v>9</v>
      </c>
      <c r="E96" s="582">
        <v>3</v>
      </c>
      <c r="F96" s="581">
        <v>2</v>
      </c>
      <c r="G96" s="581">
        <v>4</v>
      </c>
      <c r="H96" s="581">
        <v>292</v>
      </c>
      <c r="I96" s="581">
        <v>243</v>
      </c>
      <c r="J96" s="582">
        <v>49</v>
      </c>
      <c r="K96" s="581">
        <v>9</v>
      </c>
      <c r="L96" s="582">
        <v>25</v>
      </c>
    </row>
    <row r="97" spans="1:12" ht="14.95" thickBot="1" x14ac:dyDescent="0.3">
      <c r="A97" s="578">
        <v>6</v>
      </c>
      <c r="B97" s="579" t="s">
        <v>15</v>
      </c>
      <c r="C97" s="580" t="s">
        <v>540</v>
      </c>
      <c r="D97" s="581">
        <v>8</v>
      </c>
      <c r="E97" s="582">
        <v>3</v>
      </c>
      <c r="F97" s="581">
        <v>2</v>
      </c>
      <c r="G97" s="581">
        <v>3</v>
      </c>
      <c r="H97" s="581">
        <v>245</v>
      </c>
      <c r="I97" s="581">
        <v>238</v>
      </c>
      <c r="J97" s="582">
        <v>7</v>
      </c>
      <c r="K97" s="581">
        <v>6</v>
      </c>
      <c r="L97" s="582">
        <v>22</v>
      </c>
    </row>
    <row r="98" spans="1:12" ht="14.95" thickBot="1" x14ac:dyDescent="0.3">
      <c r="A98" s="578">
        <v>7</v>
      </c>
      <c r="B98" s="579" t="s">
        <v>15</v>
      </c>
      <c r="C98" s="580" t="s">
        <v>62</v>
      </c>
      <c r="D98" s="581">
        <v>9</v>
      </c>
      <c r="E98" s="582">
        <v>1</v>
      </c>
      <c r="F98" s="581">
        <v>1</v>
      </c>
      <c r="G98" s="581">
        <v>7</v>
      </c>
      <c r="H98" s="581">
        <v>200</v>
      </c>
      <c r="I98" s="581">
        <v>276</v>
      </c>
      <c r="J98" s="582">
        <v>-76</v>
      </c>
      <c r="K98" s="581">
        <v>8</v>
      </c>
      <c r="L98" s="582">
        <v>14</v>
      </c>
    </row>
    <row r="99" spans="1:12" ht="14.95" thickBot="1" x14ac:dyDescent="0.3">
      <c r="A99" s="578">
        <v>8</v>
      </c>
      <c r="B99" s="579" t="s">
        <v>15</v>
      </c>
      <c r="C99" s="580" t="s">
        <v>49</v>
      </c>
      <c r="D99" s="581">
        <v>9</v>
      </c>
      <c r="E99" s="582">
        <v>2</v>
      </c>
      <c r="F99" s="581">
        <v>1</v>
      </c>
      <c r="G99" s="581">
        <v>6</v>
      </c>
      <c r="H99" s="581">
        <v>216</v>
      </c>
      <c r="I99" s="581">
        <v>297</v>
      </c>
      <c r="J99" s="582">
        <v>-81</v>
      </c>
      <c r="K99" s="581">
        <v>3</v>
      </c>
      <c r="L99" s="582">
        <v>13</v>
      </c>
    </row>
    <row r="100" spans="1:12" ht="14.95" thickBot="1" x14ac:dyDescent="0.3">
      <c r="A100" s="578">
        <v>9</v>
      </c>
      <c r="B100" s="579" t="s">
        <v>15</v>
      </c>
      <c r="C100" s="580" t="s">
        <v>70</v>
      </c>
      <c r="D100" s="581">
        <v>9</v>
      </c>
      <c r="E100" s="582">
        <v>0</v>
      </c>
      <c r="F100" s="581">
        <v>0</v>
      </c>
      <c r="G100" s="581">
        <v>9</v>
      </c>
      <c r="H100" s="581">
        <v>87</v>
      </c>
      <c r="I100" s="581">
        <v>554</v>
      </c>
      <c r="J100" s="582">
        <v>-467</v>
      </c>
      <c r="K100" s="581">
        <v>1</v>
      </c>
      <c r="L100" s="582">
        <v>1</v>
      </c>
    </row>
    <row r="101" spans="1:12" x14ac:dyDescent="0.25">
      <c r="A101" s="62"/>
    </row>
    <row r="102" spans="1:12" x14ac:dyDescent="0.25">
      <c r="A102" s="146" t="s">
        <v>563</v>
      </c>
    </row>
    <row r="103" spans="1:12" ht="14.95" thickBot="1" x14ac:dyDescent="0.3">
      <c r="A103" s="62"/>
    </row>
    <row r="104" spans="1:12" ht="14.95" thickBot="1" x14ac:dyDescent="0.3">
      <c r="A104" s="567" t="s">
        <v>5</v>
      </c>
      <c r="B104" s="568" t="s">
        <v>6</v>
      </c>
      <c r="C104" s="568"/>
      <c r="D104" s="568" t="s">
        <v>7</v>
      </c>
      <c r="E104" s="569" t="s">
        <v>8</v>
      </c>
      <c r="F104" s="568" t="s">
        <v>9</v>
      </c>
      <c r="G104" s="568" t="s">
        <v>10</v>
      </c>
      <c r="H104" s="568" t="s">
        <v>11</v>
      </c>
      <c r="I104" s="568" t="s">
        <v>12</v>
      </c>
      <c r="J104" s="569" t="s">
        <v>51</v>
      </c>
      <c r="K104" s="568" t="s">
        <v>13</v>
      </c>
      <c r="L104" s="569" t="s">
        <v>14</v>
      </c>
    </row>
    <row r="105" spans="1:12" ht="14.95" thickBot="1" x14ac:dyDescent="0.3">
      <c r="A105" s="570">
        <v>1</v>
      </c>
      <c r="B105" s="421" t="s">
        <v>366</v>
      </c>
      <c r="C105" s="571" t="s">
        <v>63</v>
      </c>
      <c r="D105" s="572">
        <v>8</v>
      </c>
      <c r="E105" s="573">
        <v>8</v>
      </c>
      <c r="F105" s="572">
        <v>0</v>
      </c>
      <c r="G105" s="572">
        <v>0</v>
      </c>
      <c r="H105" s="572">
        <v>363</v>
      </c>
      <c r="I105" s="572">
        <v>175</v>
      </c>
      <c r="J105" s="573">
        <v>188</v>
      </c>
      <c r="K105" s="572">
        <v>8</v>
      </c>
      <c r="L105" s="573">
        <v>40</v>
      </c>
    </row>
    <row r="106" spans="1:12" ht="14.95" thickBot="1" x14ac:dyDescent="0.3">
      <c r="A106" s="570">
        <v>2</v>
      </c>
      <c r="B106" s="421" t="s">
        <v>367</v>
      </c>
      <c r="C106" s="571" t="s">
        <v>1</v>
      </c>
      <c r="D106" s="572">
        <v>8</v>
      </c>
      <c r="E106" s="573">
        <v>7</v>
      </c>
      <c r="F106" s="572">
        <v>0</v>
      </c>
      <c r="G106" s="572">
        <v>1</v>
      </c>
      <c r="H106" s="572">
        <v>323</v>
      </c>
      <c r="I106" s="572">
        <v>118</v>
      </c>
      <c r="J106" s="573">
        <v>205</v>
      </c>
      <c r="K106" s="572">
        <v>7</v>
      </c>
      <c r="L106" s="573">
        <v>35</v>
      </c>
    </row>
    <row r="107" spans="1:12" ht="14.95" thickBot="1" x14ac:dyDescent="0.3">
      <c r="A107" s="574">
        <v>3</v>
      </c>
      <c r="B107" s="420" t="s">
        <v>15</v>
      </c>
      <c r="C107" s="575" t="s">
        <v>0</v>
      </c>
      <c r="D107" s="576">
        <v>8</v>
      </c>
      <c r="E107" s="577">
        <v>5</v>
      </c>
      <c r="F107" s="576">
        <v>0</v>
      </c>
      <c r="G107" s="576">
        <v>3</v>
      </c>
      <c r="H107" s="576">
        <v>250</v>
      </c>
      <c r="I107" s="576">
        <v>231</v>
      </c>
      <c r="J107" s="577">
        <v>19</v>
      </c>
      <c r="K107" s="576">
        <v>8</v>
      </c>
      <c r="L107" s="577">
        <v>28</v>
      </c>
    </row>
    <row r="108" spans="1:12" ht="14.95" thickBot="1" x14ac:dyDescent="0.3">
      <c r="A108" s="574">
        <v>4</v>
      </c>
      <c r="B108" s="420" t="s">
        <v>15</v>
      </c>
      <c r="C108" s="575" t="s">
        <v>52</v>
      </c>
      <c r="D108" s="576">
        <v>8</v>
      </c>
      <c r="E108" s="577">
        <v>4</v>
      </c>
      <c r="F108" s="576">
        <v>2</v>
      </c>
      <c r="G108" s="576">
        <v>2</v>
      </c>
      <c r="H108" s="576">
        <v>231</v>
      </c>
      <c r="I108" s="576">
        <v>171</v>
      </c>
      <c r="J108" s="577">
        <v>60</v>
      </c>
      <c r="K108" s="576">
        <v>7</v>
      </c>
      <c r="L108" s="577">
        <v>27</v>
      </c>
    </row>
    <row r="109" spans="1:12" ht="14.95" thickBot="1" x14ac:dyDescent="0.3">
      <c r="A109" s="578">
        <v>5</v>
      </c>
      <c r="B109" s="579" t="s">
        <v>366</v>
      </c>
      <c r="C109" s="580" t="s">
        <v>100</v>
      </c>
      <c r="D109" s="581">
        <v>8</v>
      </c>
      <c r="E109" s="582">
        <v>3</v>
      </c>
      <c r="F109" s="581">
        <v>1</v>
      </c>
      <c r="G109" s="581">
        <v>4</v>
      </c>
      <c r="H109" s="581">
        <v>266</v>
      </c>
      <c r="I109" s="581">
        <v>217</v>
      </c>
      <c r="J109" s="582">
        <v>49</v>
      </c>
      <c r="K109" s="581">
        <v>8</v>
      </c>
      <c r="L109" s="582">
        <v>22</v>
      </c>
    </row>
    <row r="110" spans="1:12" ht="14.95" thickBot="1" x14ac:dyDescent="0.3">
      <c r="A110" s="578">
        <v>6</v>
      </c>
      <c r="B110" s="579" t="s">
        <v>367</v>
      </c>
      <c r="C110" s="580" t="s">
        <v>540</v>
      </c>
      <c r="D110" s="581">
        <v>8</v>
      </c>
      <c r="E110" s="582">
        <v>3</v>
      </c>
      <c r="F110" s="581">
        <v>2</v>
      </c>
      <c r="G110" s="581">
        <v>3</v>
      </c>
      <c r="H110" s="581">
        <v>245</v>
      </c>
      <c r="I110" s="581">
        <v>238</v>
      </c>
      <c r="J110" s="582">
        <v>7</v>
      </c>
      <c r="K110" s="581">
        <v>6</v>
      </c>
      <c r="L110" s="582">
        <v>22</v>
      </c>
    </row>
    <row r="111" spans="1:12" ht="14.95" thickBot="1" x14ac:dyDescent="0.3">
      <c r="A111" s="578">
        <v>7</v>
      </c>
      <c r="B111" s="579" t="s">
        <v>15</v>
      </c>
      <c r="C111" s="580" t="s">
        <v>62</v>
      </c>
      <c r="D111" s="581">
        <v>8</v>
      </c>
      <c r="E111" s="582">
        <v>1</v>
      </c>
      <c r="F111" s="581">
        <v>1</v>
      </c>
      <c r="G111" s="581">
        <v>6</v>
      </c>
      <c r="H111" s="581">
        <v>193</v>
      </c>
      <c r="I111" s="581">
        <v>254</v>
      </c>
      <c r="J111" s="582">
        <v>-61</v>
      </c>
      <c r="K111" s="581">
        <v>8</v>
      </c>
      <c r="L111" s="582">
        <v>14</v>
      </c>
    </row>
    <row r="112" spans="1:12" ht="14.95" thickBot="1" x14ac:dyDescent="0.3">
      <c r="A112" s="578">
        <v>8</v>
      </c>
      <c r="B112" s="579" t="s">
        <v>15</v>
      </c>
      <c r="C112" s="580" t="s">
        <v>49</v>
      </c>
      <c r="D112" s="581">
        <v>8</v>
      </c>
      <c r="E112" s="582">
        <v>2</v>
      </c>
      <c r="F112" s="581">
        <v>0</v>
      </c>
      <c r="G112" s="581">
        <v>6</v>
      </c>
      <c r="H112" s="581">
        <v>190</v>
      </c>
      <c r="I112" s="581">
        <v>271</v>
      </c>
      <c r="J112" s="582">
        <v>-81</v>
      </c>
      <c r="K112" s="581">
        <v>2</v>
      </c>
      <c r="L112" s="582">
        <v>10</v>
      </c>
    </row>
    <row r="113" spans="1:12" ht="14.95" thickBot="1" x14ac:dyDescent="0.3">
      <c r="A113" s="578">
        <v>9</v>
      </c>
      <c r="B113" s="579" t="s">
        <v>15</v>
      </c>
      <c r="C113" s="580" t="s">
        <v>70</v>
      </c>
      <c r="D113" s="581">
        <v>8</v>
      </c>
      <c r="E113" s="582">
        <v>0</v>
      </c>
      <c r="F113" s="581">
        <v>0</v>
      </c>
      <c r="G113" s="581">
        <v>8</v>
      </c>
      <c r="H113" s="581">
        <v>87</v>
      </c>
      <c r="I113" s="581">
        <v>473</v>
      </c>
      <c r="J113" s="582">
        <v>-386</v>
      </c>
      <c r="K113" s="581">
        <v>1</v>
      </c>
      <c r="L113" s="582">
        <v>1</v>
      </c>
    </row>
    <row r="114" spans="1:12" x14ac:dyDescent="0.25">
      <c r="A114" s="62"/>
    </row>
    <row r="115" spans="1:12" x14ac:dyDescent="0.25">
      <c r="A115" s="146" t="s">
        <v>547</v>
      </c>
    </row>
    <row r="116" spans="1:12" ht="14.95" thickBot="1" x14ac:dyDescent="0.3">
      <c r="A116" s="62"/>
    </row>
    <row r="117" spans="1:12" ht="14.95" thickBot="1" x14ac:dyDescent="0.3">
      <c r="A117" s="567" t="s">
        <v>5</v>
      </c>
      <c r="B117" s="568" t="s">
        <v>6</v>
      </c>
      <c r="C117" s="568"/>
      <c r="D117" s="568" t="s">
        <v>7</v>
      </c>
      <c r="E117" s="569" t="s">
        <v>8</v>
      </c>
      <c r="F117" s="568" t="s">
        <v>9</v>
      </c>
      <c r="G117" s="568" t="s">
        <v>10</v>
      </c>
      <c r="H117" s="568" t="s">
        <v>11</v>
      </c>
      <c r="I117" s="568" t="s">
        <v>12</v>
      </c>
      <c r="J117" s="569" t="s">
        <v>51</v>
      </c>
      <c r="K117" s="568" t="s">
        <v>13</v>
      </c>
      <c r="L117" s="569" t="s">
        <v>14</v>
      </c>
    </row>
    <row r="118" spans="1:12" ht="14.95" thickBot="1" x14ac:dyDescent="0.3">
      <c r="A118" s="570">
        <v>1</v>
      </c>
      <c r="B118" s="421" t="s">
        <v>15</v>
      </c>
      <c r="C118" s="571" t="s">
        <v>1</v>
      </c>
      <c r="D118" s="572">
        <v>8</v>
      </c>
      <c r="E118" s="573">
        <v>7</v>
      </c>
      <c r="F118" s="572">
        <v>0</v>
      </c>
      <c r="G118" s="572">
        <v>1</v>
      </c>
      <c r="H118" s="572">
        <v>323</v>
      </c>
      <c r="I118" s="572">
        <v>118</v>
      </c>
      <c r="J118" s="573">
        <v>205</v>
      </c>
      <c r="K118" s="572">
        <v>7</v>
      </c>
      <c r="L118" s="573">
        <v>35</v>
      </c>
    </row>
    <row r="119" spans="1:12" ht="14.95" thickBot="1" x14ac:dyDescent="0.3">
      <c r="A119" s="570">
        <v>2</v>
      </c>
      <c r="B119" s="421" t="s">
        <v>15</v>
      </c>
      <c r="C119" s="571" t="s">
        <v>63</v>
      </c>
      <c r="D119" s="572">
        <v>7</v>
      </c>
      <c r="E119" s="573">
        <v>7</v>
      </c>
      <c r="F119" s="572">
        <v>0</v>
      </c>
      <c r="G119" s="572">
        <v>0</v>
      </c>
      <c r="H119" s="572">
        <v>318</v>
      </c>
      <c r="I119" s="572">
        <v>149</v>
      </c>
      <c r="J119" s="573">
        <v>169</v>
      </c>
      <c r="K119" s="572">
        <v>7</v>
      </c>
      <c r="L119" s="573">
        <v>35</v>
      </c>
    </row>
    <row r="120" spans="1:12" ht="14.95" thickBot="1" x14ac:dyDescent="0.3">
      <c r="A120" s="574">
        <v>3</v>
      </c>
      <c r="B120" s="420" t="s">
        <v>368</v>
      </c>
      <c r="C120" s="575" t="s">
        <v>0</v>
      </c>
      <c r="D120" s="576">
        <v>7</v>
      </c>
      <c r="E120" s="577">
        <v>4</v>
      </c>
      <c r="F120" s="576">
        <v>0</v>
      </c>
      <c r="G120" s="576">
        <v>3</v>
      </c>
      <c r="H120" s="576">
        <v>223</v>
      </c>
      <c r="I120" s="576">
        <v>205</v>
      </c>
      <c r="J120" s="577">
        <v>18</v>
      </c>
      <c r="K120" s="576">
        <v>7</v>
      </c>
      <c r="L120" s="577">
        <v>23</v>
      </c>
    </row>
    <row r="121" spans="1:12" ht="14.95" thickBot="1" x14ac:dyDescent="0.3">
      <c r="A121" s="574">
        <v>4</v>
      </c>
      <c r="B121" s="420" t="s">
        <v>367</v>
      </c>
      <c r="C121" s="575" t="s">
        <v>52</v>
      </c>
      <c r="D121" s="576">
        <v>7</v>
      </c>
      <c r="E121" s="577">
        <v>3</v>
      </c>
      <c r="F121" s="576">
        <v>2</v>
      </c>
      <c r="G121" s="576">
        <v>2</v>
      </c>
      <c r="H121" s="576">
        <v>195</v>
      </c>
      <c r="I121" s="576">
        <v>171</v>
      </c>
      <c r="J121" s="577">
        <v>24</v>
      </c>
      <c r="K121" s="576">
        <v>6</v>
      </c>
      <c r="L121" s="577">
        <v>22</v>
      </c>
    </row>
    <row r="122" spans="1:12" ht="14.95" thickBot="1" x14ac:dyDescent="0.3">
      <c r="A122" s="578">
        <v>5</v>
      </c>
      <c r="B122" s="579" t="s">
        <v>367</v>
      </c>
      <c r="C122" s="580" t="s">
        <v>540</v>
      </c>
      <c r="D122" s="581">
        <v>7</v>
      </c>
      <c r="E122" s="582">
        <v>3</v>
      </c>
      <c r="F122" s="581">
        <v>2</v>
      </c>
      <c r="G122" s="581">
        <v>2</v>
      </c>
      <c r="H122" s="581">
        <v>219</v>
      </c>
      <c r="I122" s="581">
        <v>193</v>
      </c>
      <c r="J122" s="582">
        <v>26</v>
      </c>
      <c r="K122" s="581">
        <v>5</v>
      </c>
      <c r="L122" s="582">
        <v>21</v>
      </c>
    </row>
    <row r="123" spans="1:12" ht="14.95" thickBot="1" x14ac:dyDescent="0.3">
      <c r="A123" s="578">
        <v>6</v>
      </c>
      <c r="B123" s="579" t="s">
        <v>15</v>
      </c>
      <c r="C123" s="580" t="s">
        <v>100</v>
      </c>
      <c r="D123" s="581">
        <v>7</v>
      </c>
      <c r="E123" s="582">
        <v>3</v>
      </c>
      <c r="F123" s="581">
        <v>1</v>
      </c>
      <c r="G123" s="581">
        <v>3</v>
      </c>
      <c r="H123" s="581">
        <v>240</v>
      </c>
      <c r="I123" s="581">
        <v>190</v>
      </c>
      <c r="J123" s="582">
        <v>50</v>
      </c>
      <c r="K123" s="581">
        <v>6</v>
      </c>
      <c r="L123" s="582">
        <v>20</v>
      </c>
    </row>
    <row r="124" spans="1:12" ht="14.95" thickBot="1" x14ac:dyDescent="0.3">
      <c r="A124" s="578">
        <v>7</v>
      </c>
      <c r="B124" s="579" t="s">
        <v>15</v>
      </c>
      <c r="C124" s="580" t="s">
        <v>62</v>
      </c>
      <c r="D124" s="581">
        <v>7</v>
      </c>
      <c r="E124" s="582">
        <v>1</v>
      </c>
      <c r="F124" s="581">
        <v>1</v>
      </c>
      <c r="G124" s="581">
        <v>5</v>
      </c>
      <c r="H124" s="581">
        <v>164</v>
      </c>
      <c r="I124" s="581">
        <v>224</v>
      </c>
      <c r="J124" s="582">
        <v>-60</v>
      </c>
      <c r="K124" s="581">
        <v>6</v>
      </c>
      <c r="L124" s="582">
        <v>12</v>
      </c>
    </row>
    <row r="125" spans="1:12" ht="14.95" thickBot="1" x14ac:dyDescent="0.3">
      <c r="A125" s="578">
        <v>8</v>
      </c>
      <c r="B125" s="579" t="s">
        <v>15</v>
      </c>
      <c r="C125" s="580" t="s">
        <v>49</v>
      </c>
      <c r="D125" s="581">
        <v>7</v>
      </c>
      <c r="E125" s="582">
        <v>1</v>
      </c>
      <c r="F125" s="581">
        <v>0</v>
      </c>
      <c r="G125" s="581">
        <v>6</v>
      </c>
      <c r="H125" s="581">
        <v>160</v>
      </c>
      <c r="I125" s="581">
        <v>242</v>
      </c>
      <c r="J125" s="582">
        <v>-82</v>
      </c>
      <c r="K125" s="581">
        <v>1</v>
      </c>
      <c r="L125" s="582">
        <v>5</v>
      </c>
    </row>
    <row r="126" spans="1:12" ht="14.95" thickBot="1" x14ac:dyDescent="0.3">
      <c r="A126" s="578">
        <v>9</v>
      </c>
      <c r="B126" s="579" t="s">
        <v>15</v>
      </c>
      <c r="C126" s="580" t="s">
        <v>70</v>
      </c>
      <c r="D126" s="581">
        <v>7</v>
      </c>
      <c r="E126" s="582">
        <v>0</v>
      </c>
      <c r="F126" s="581">
        <v>0</v>
      </c>
      <c r="G126" s="581">
        <v>7</v>
      </c>
      <c r="H126" s="581">
        <v>87</v>
      </c>
      <c r="I126" s="581">
        <v>437</v>
      </c>
      <c r="J126" s="582">
        <v>-350</v>
      </c>
      <c r="K126" s="581">
        <v>1</v>
      </c>
      <c r="L126" s="582">
        <v>1</v>
      </c>
    </row>
    <row r="127" spans="1:12" x14ac:dyDescent="0.25">
      <c r="A127" s="62"/>
    </row>
    <row r="128" spans="1:12" x14ac:dyDescent="0.25">
      <c r="A128" s="146" t="s">
        <v>533</v>
      </c>
    </row>
    <row r="129" spans="1:12" ht="14.95" thickBot="1" x14ac:dyDescent="0.3">
      <c r="A129" s="62"/>
    </row>
    <row r="130" spans="1:12" ht="14.95" thickBot="1" x14ac:dyDescent="0.3">
      <c r="A130" s="567" t="s">
        <v>5</v>
      </c>
      <c r="B130" s="568" t="s">
        <v>6</v>
      </c>
      <c r="C130" s="568"/>
      <c r="D130" s="568" t="s">
        <v>7</v>
      </c>
      <c r="E130" s="569" t="s">
        <v>8</v>
      </c>
      <c r="F130" s="568" t="s">
        <v>9</v>
      </c>
      <c r="G130" s="568" t="s">
        <v>10</v>
      </c>
      <c r="H130" s="568" t="s">
        <v>11</v>
      </c>
      <c r="I130" s="568" t="s">
        <v>12</v>
      </c>
      <c r="J130" s="569" t="s">
        <v>51</v>
      </c>
      <c r="K130" s="568" t="s">
        <v>13</v>
      </c>
      <c r="L130" s="569" t="s">
        <v>14</v>
      </c>
    </row>
    <row r="131" spans="1:12" ht="14.95" thickBot="1" x14ac:dyDescent="0.3">
      <c r="A131" s="570">
        <v>1</v>
      </c>
      <c r="B131" s="421" t="s">
        <v>366</v>
      </c>
      <c r="C131" s="571" t="s">
        <v>1</v>
      </c>
      <c r="D131" s="572">
        <v>7</v>
      </c>
      <c r="E131" s="573">
        <v>6</v>
      </c>
      <c r="F131" s="572">
        <v>0</v>
      </c>
      <c r="G131" s="572">
        <v>1</v>
      </c>
      <c r="H131" s="572">
        <v>287</v>
      </c>
      <c r="I131" s="572">
        <v>101</v>
      </c>
      <c r="J131" s="573">
        <v>186</v>
      </c>
      <c r="K131" s="572">
        <v>6</v>
      </c>
      <c r="L131" s="573">
        <v>30</v>
      </c>
    </row>
    <row r="132" spans="1:12" ht="14.95" thickBot="1" x14ac:dyDescent="0.3">
      <c r="A132" s="570">
        <v>2</v>
      </c>
      <c r="B132" s="421" t="s">
        <v>367</v>
      </c>
      <c r="C132" s="571" t="s">
        <v>63</v>
      </c>
      <c r="D132" s="572">
        <v>6</v>
      </c>
      <c r="E132" s="573">
        <v>6</v>
      </c>
      <c r="F132" s="572">
        <v>0</v>
      </c>
      <c r="G132" s="572">
        <v>0</v>
      </c>
      <c r="H132" s="572">
        <v>243</v>
      </c>
      <c r="I132" s="572">
        <v>137</v>
      </c>
      <c r="J132" s="573">
        <v>106</v>
      </c>
      <c r="K132" s="572">
        <v>6</v>
      </c>
      <c r="L132" s="573">
        <v>30</v>
      </c>
    </row>
    <row r="133" spans="1:12" ht="14.95" thickBot="1" x14ac:dyDescent="0.3">
      <c r="A133" s="574">
        <v>3</v>
      </c>
      <c r="B133" s="420" t="s">
        <v>15</v>
      </c>
      <c r="C133" s="575" t="s">
        <v>52</v>
      </c>
      <c r="D133" s="576">
        <v>7</v>
      </c>
      <c r="E133" s="577">
        <v>3</v>
      </c>
      <c r="F133" s="576">
        <v>2</v>
      </c>
      <c r="G133" s="576">
        <v>2</v>
      </c>
      <c r="H133" s="576">
        <v>195</v>
      </c>
      <c r="I133" s="576">
        <v>171</v>
      </c>
      <c r="J133" s="577">
        <v>24</v>
      </c>
      <c r="K133" s="576">
        <v>6</v>
      </c>
      <c r="L133" s="577">
        <v>22</v>
      </c>
    </row>
    <row r="134" spans="1:12" ht="14.95" thickBot="1" x14ac:dyDescent="0.3">
      <c r="A134" s="574">
        <v>4</v>
      </c>
      <c r="B134" s="420" t="s">
        <v>15</v>
      </c>
      <c r="C134" s="575" t="s">
        <v>540</v>
      </c>
      <c r="D134" s="576">
        <v>6</v>
      </c>
      <c r="E134" s="577">
        <v>3</v>
      </c>
      <c r="F134" s="576">
        <v>1</v>
      </c>
      <c r="G134" s="576">
        <v>2</v>
      </c>
      <c r="H134" s="576">
        <v>190</v>
      </c>
      <c r="I134" s="576">
        <v>164</v>
      </c>
      <c r="J134" s="577">
        <v>26</v>
      </c>
      <c r="K134" s="576">
        <v>4</v>
      </c>
      <c r="L134" s="577">
        <v>18</v>
      </c>
    </row>
    <row r="135" spans="1:12" ht="14.95" thickBot="1" x14ac:dyDescent="0.3">
      <c r="A135" s="578">
        <v>5</v>
      </c>
      <c r="B135" s="579" t="s">
        <v>15</v>
      </c>
      <c r="C135" s="580" t="s">
        <v>0</v>
      </c>
      <c r="D135" s="581">
        <v>6</v>
      </c>
      <c r="E135" s="582">
        <v>3</v>
      </c>
      <c r="F135" s="581">
        <v>0</v>
      </c>
      <c r="G135" s="581">
        <v>3</v>
      </c>
      <c r="H135" s="581">
        <v>185</v>
      </c>
      <c r="I135" s="581">
        <v>193</v>
      </c>
      <c r="J135" s="582">
        <v>-8</v>
      </c>
      <c r="K135" s="581">
        <v>6</v>
      </c>
      <c r="L135" s="582">
        <v>18</v>
      </c>
    </row>
    <row r="136" spans="1:12" ht="14.95" thickBot="1" x14ac:dyDescent="0.3">
      <c r="A136" s="578">
        <v>6</v>
      </c>
      <c r="B136" s="579" t="s">
        <v>15</v>
      </c>
      <c r="C136" s="580" t="s">
        <v>100</v>
      </c>
      <c r="D136" s="581">
        <v>6</v>
      </c>
      <c r="E136" s="582">
        <v>3</v>
      </c>
      <c r="F136" s="581">
        <v>0</v>
      </c>
      <c r="G136" s="581">
        <v>3</v>
      </c>
      <c r="H136" s="581">
        <v>211</v>
      </c>
      <c r="I136" s="581">
        <v>161</v>
      </c>
      <c r="J136" s="582">
        <v>50</v>
      </c>
      <c r="K136" s="581">
        <v>5</v>
      </c>
      <c r="L136" s="582">
        <v>17</v>
      </c>
    </row>
    <row r="137" spans="1:12" ht="14.95" thickBot="1" x14ac:dyDescent="0.3">
      <c r="A137" s="578">
        <v>7</v>
      </c>
      <c r="B137" s="579" t="s">
        <v>15</v>
      </c>
      <c r="C137" s="580" t="s">
        <v>62</v>
      </c>
      <c r="D137" s="581">
        <v>6</v>
      </c>
      <c r="E137" s="582">
        <v>1</v>
      </c>
      <c r="F137" s="581">
        <v>1</v>
      </c>
      <c r="G137" s="581">
        <v>4</v>
      </c>
      <c r="H137" s="581">
        <v>147</v>
      </c>
      <c r="I137" s="581">
        <v>188</v>
      </c>
      <c r="J137" s="582">
        <v>-41</v>
      </c>
      <c r="K137" s="581">
        <v>6</v>
      </c>
      <c r="L137" s="582">
        <v>12</v>
      </c>
    </row>
    <row r="138" spans="1:12" ht="14.95" thickBot="1" x14ac:dyDescent="0.3">
      <c r="A138" s="578">
        <v>8</v>
      </c>
      <c r="B138" s="579" t="s">
        <v>15</v>
      </c>
      <c r="C138" s="580" t="s">
        <v>49</v>
      </c>
      <c r="D138" s="581">
        <v>6</v>
      </c>
      <c r="E138" s="582">
        <v>1</v>
      </c>
      <c r="F138" s="581">
        <v>0</v>
      </c>
      <c r="G138" s="581">
        <v>5</v>
      </c>
      <c r="H138" s="581">
        <v>148</v>
      </c>
      <c r="I138" s="581">
        <v>204</v>
      </c>
      <c r="J138" s="582">
        <v>-56</v>
      </c>
      <c r="K138" s="581">
        <v>1</v>
      </c>
      <c r="L138" s="582">
        <v>5</v>
      </c>
    </row>
    <row r="139" spans="1:12" ht="14.95" thickBot="1" x14ac:dyDescent="0.3">
      <c r="A139" s="578">
        <v>9</v>
      </c>
      <c r="B139" s="579" t="s">
        <v>15</v>
      </c>
      <c r="C139" s="580" t="s">
        <v>70</v>
      </c>
      <c r="D139" s="581">
        <v>6</v>
      </c>
      <c r="E139" s="582">
        <v>0</v>
      </c>
      <c r="F139" s="581">
        <v>0</v>
      </c>
      <c r="G139" s="581">
        <v>6</v>
      </c>
      <c r="H139" s="581">
        <v>75</v>
      </c>
      <c r="I139" s="581">
        <v>362</v>
      </c>
      <c r="J139" s="582">
        <v>-287</v>
      </c>
      <c r="K139" s="581">
        <v>1</v>
      </c>
      <c r="L139" s="582">
        <v>1</v>
      </c>
    </row>
    <row r="140" spans="1:12" x14ac:dyDescent="0.25">
      <c r="A140" s="62"/>
    </row>
    <row r="141" spans="1:12" x14ac:dyDescent="0.25">
      <c r="A141" s="146" t="s">
        <v>503</v>
      </c>
    </row>
    <row r="142" spans="1:12" ht="14.95" thickBot="1" x14ac:dyDescent="0.3">
      <c r="A142" s="62"/>
    </row>
    <row r="143" spans="1:12" ht="14.95" thickBot="1" x14ac:dyDescent="0.3">
      <c r="A143" s="567" t="s">
        <v>5</v>
      </c>
      <c r="B143" s="568" t="s">
        <v>6</v>
      </c>
      <c r="C143" s="568"/>
      <c r="D143" s="568" t="s">
        <v>7</v>
      </c>
      <c r="E143" s="569" t="s">
        <v>8</v>
      </c>
      <c r="F143" s="568" t="s">
        <v>9</v>
      </c>
      <c r="G143" s="568" t="s">
        <v>10</v>
      </c>
      <c r="H143" s="568" t="s">
        <v>11</v>
      </c>
      <c r="I143" s="568" t="s">
        <v>12</v>
      </c>
      <c r="J143" s="569" t="s">
        <v>51</v>
      </c>
      <c r="K143" s="568" t="s">
        <v>13</v>
      </c>
      <c r="L143" s="569" t="s">
        <v>14</v>
      </c>
    </row>
    <row r="144" spans="1:12" ht="14.95" thickBot="1" x14ac:dyDescent="0.3">
      <c r="A144" s="570">
        <v>1</v>
      </c>
      <c r="B144" s="421" t="s">
        <v>15</v>
      </c>
      <c r="C144" s="571" t="s">
        <v>63</v>
      </c>
      <c r="D144" s="572">
        <v>6</v>
      </c>
      <c r="E144" s="573">
        <v>6</v>
      </c>
      <c r="F144" s="572">
        <v>0</v>
      </c>
      <c r="G144" s="572">
        <v>0</v>
      </c>
      <c r="H144" s="572">
        <v>243</v>
      </c>
      <c r="I144" s="572">
        <v>137</v>
      </c>
      <c r="J144" s="573">
        <v>106</v>
      </c>
      <c r="K144" s="572">
        <v>6</v>
      </c>
      <c r="L144" s="573">
        <v>30</v>
      </c>
    </row>
    <row r="145" spans="1:12" ht="14.95" thickBot="1" x14ac:dyDescent="0.3">
      <c r="A145" s="570">
        <v>2</v>
      </c>
      <c r="B145" s="421" t="s">
        <v>15</v>
      </c>
      <c r="C145" s="571" t="s">
        <v>1</v>
      </c>
      <c r="D145" s="572">
        <v>6</v>
      </c>
      <c r="E145" s="573">
        <v>5</v>
      </c>
      <c r="F145" s="572">
        <v>0</v>
      </c>
      <c r="G145" s="572">
        <v>1</v>
      </c>
      <c r="H145" s="572">
        <v>263</v>
      </c>
      <c r="I145" s="572">
        <v>87</v>
      </c>
      <c r="J145" s="573">
        <v>176</v>
      </c>
      <c r="K145" s="572">
        <v>5</v>
      </c>
      <c r="L145" s="573">
        <v>25</v>
      </c>
    </row>
    <row r="146" spans="1:12" ht="14.95" thickBot="1" x14ac:dyDescent="0.3">
      <c r="A146" s="574">
        <v>3</v>
      </c>
      <c r="B146" s="420" t="s">
        <v>15</v>
      </c>
      <c r="C146" s="575" t="s">
        <v>52</v>
      </c>
      <c r="D146" s="576">
        <v>6</v>
      </c>
      <c r="E146" s="577">
        <v>3</v>
      </c>
      <c r="F146" s="576">
        <v>2</v>
      </c>
      <c r="G146" s="576">
        <v>1</v>
      </c>
      <c r="H146" s="576">
        <v>181</v>
      </c>
      <c r="I146" s="576">
        <v>147</v>
      </c>
      <c r="J146" s="577">
        <v>34</v>
      </c>
      <c r="K146" s="576">
        <v>6</v>
      </c>
      <c r="L146" s="577">
        <v>22</v>
      </c>
    </row>
    <row r="147" spans="1:12" ht="14.95" thickBot="1" x14ac:dyDescent="0.3">
      <c r="A147" s="574">
        <v>4</v>
      </c>
      <c r="B147" s="420" t="s">
        <v>15</v>
      </c>
      <c r="C147" s="575" t="s">
        <v>540</v>
      </c>
      <c r="D147" s="576">
        <v>5</v>
      </c>
      <c r="E147" s="577">
        <v>2</v>
      </c>
      <c r="F147" s="576">
        <v>1</v>
      </c>
      <c r="G147" s="576">
        <v>2</v>
      </c>
      <c r="H147" s="576">
        <v>159</v>
      </c>
      <c r="I147" s="576">
        <v>145</v>
      </c>
      <c r="J147" s="577">
        <v>14</v>
      </c>
      <c r="K147" s="576">
        <v>3</v>
      </c>
      <c r="L147" s="577">
        <v>13</v>
      </c>
    </row>
    <row r="148" spans="1:12" ht="14.95" thickBot="1" x14ac:dyDescent="0.3">
      <c r="A148" s="578">
        <v>5</v>
      </c>
      <c r="B148" s="579" t="s">
        <v>368</v>
      </c>
      <c r="C148" s="580" t="s">
        <v>0</v>
      </c>
      <c r="D148" s="581">
        <v>5</v>
      </c>
      <c r="E148" s="582">
        <v>2</v>
      </c>
      <c r="F148" s="581">
        <v>0</v>
      </c>
      <c r="G148" s="581">
        <v>3</v>
      </c>
      <c r="H148" s="581">
        <v>163</v>
      </c>
      <c r="I148" s="581">
        <v>176</v>
      </c>
      <c r="J148" s="582">
        <v>-13</v>
      </c>
      <c r="K148" s="581">
        <v>5</v>
      </c>
      <c r="L148" s="582">
        <v>13</v>
      </c>
    </row>
    <row r="149" spans="1:12" ht="14.95" thickBot="1" x14ac:dyDescent="0.3">
      <c r="A149" s="578">
        <v>6</v>
      </c>
      <c r="B149" s="579" t="s">
        <v>15</v>
      </c>
      <c r="C149" s="580" t="s">
        <v>100</v>
      </c>
      <c r="D149" s="581">
        <v>5</v>
      </c>
      <c r="E149" s="582">
        <v>2</v>
      </c>
      <c r="F149" s="581">
        <v>0</v>
      </c>
      <c r="G149" s="581">
        <v>3</v>
      </c>
      <c r="H149" s="581">
        <v>154</v>
      </c>
      <c r="I149" s="581">
        <v>151</v>
      </c>
      <c r="J149" s="582">
        <v>3</v>
      </c>
      <c r="K149" s="581">
        <v>4</v>
      </c>
      <c r="L149" s="582">
        <v>12</v>
      </c>
    </row>
    <row r="150" spans="1:12" ht="14.95" thickBot="1" x14ac:dyDescent="0.3">
      <c r="A150" s="578">
        <v>7</v>
      </c>
      <c r="B150" s="579" t="s">
        <v>486</v>
      </c>
      <c r="C150" s="580" t="s">
        <v>62</v>
      </c>
      <c r="D150" s="581">
        <v>5</v>
      </c>
      <c r="E150" s="582">
        <v>1</v>
      </c>
      <c r="F150" s="581">
        <v>1</v>
      </c>
      <c r="G150" s="581">
        <v>3</v>
      </c>
      <c r="H150" s="581">
        <v>130</v>
      </c>
      <c r="I150" s="581">
        <v>166</v>
      </c>
      <c r="J150" s="582">
        <v>-36</v>
      </c>
      <c r="K150" s="581">
        <v>5</v>
      </c>
      <c r="L150" s="582">
        <v>11</v>
      </c>
    </row>
    <row r="151" spans="1:12" ht="14.95" thickBot="1" x14ac:dyDescent="0.3">
      <c r="A151" s="578">
        <v>8</v>
      </c>
      <c r="B151" s="579" t="s">
        <v>15</v>
      </c>
      <c r="C151" s="580" t="s">
        <v>49</v>
      </c>
      <c r="D151" s="581">
        <v>5</v>
      </c>
      <c r="E151" s="582">
        <v>1</v>
      </c>
      <c r="F151" s="581">
        <v>0</v>
      </c>
      <c r="G151" s="581">
        <v>4</v>
      </c>
      <c r="H151" s="581">
        <v>129</v>
      </c>
      <c r="I151" s="581">
        <v>173</v>
      </c>
      <c r="J151" s="582">
        <v>-44</v>
      </c>
      <c r="K151" s="581">
        <v>1</v>
      </c>
      <c r="L151" s="582">
        <v>5</v>
      </c>
    </row>
    <row r="152" spans="1:12" ht="14.95" thickBot="1" x14ac:dyDescent="0.3">
      <c r="A152" s="578">
        <v>9</v>
      </c>
      <c r="B152" s="579" t="s">
        <v>15</v>
      </c>
      <c r="C152" s="580" t="s">
        <v>70</v>
      </c>
      <c r="D152" s="581">
        <v>5</v>
      </c>
      <c r="E152" s="582">
        <v>0</v>
      </c>
      <c r="F152" s="581">
        <v>0</v>
      </c>
      <c r="G152" s="581">
        <v>5</v>
      </c>
      <c r="H152" s="581">
        <v>65</v>
      </c>
      <c r="I152" s="581">
        <v>305</v>
      </c>
      <c r="J152" s="582">
        <v>-240</v>
      </c>
      <c r="K152" s="581">
        <v>1</v>
      </c>
      <c r="L152" s="582">
        <v>1</v>
      </c>
    </row>
    <row r="153" spans="1:12" x14ac:dyDescent="0.25">
      <c r="A153" s="62"/>
    </row>
    <row r="154" spans="1:12" x14ac:dyDescent="0.25">
      <c r="A154" s="146" t="s">
        <v>487</v>
      </c>
    </row>
    <row r="155" spans="1:12" ht="14.95" thickBot="1" x14ac:dyDescent="0.3">
      <c r="A155" s="62"/>
    </row>
    <row r="156" spans="1:12" ht="14.95" thickBot="1" x14ac:dyDescent="0.3">
      <c r="A156" s="567" t="s">
        <v>5</v>
      </c>
      <c r="B156" s="568" t="s">
        <v>6</v>
      </c>
      <c r="C156" s="568"/>
      <c r="D156" s="568" t="s">
        <v>7</v>
      </c>
      <c r="E156" s="569" t="s">
        <v>8</v>
      </c>
      <c r="F156" s="568" t="s">
        <v>9</v>
      </c>
      <c r="G156" s="568" t="s">
        <v>10</v>
      </c>
      <c r="H156" s="568" t="s">
        <v>11</v>
      </c>
      <c r="I156" s="568" t="s">
        <v>12</v>
      </c>
      <c r="J156" s="569" t="s">
        <v>51</v>
      </c>
      <c r="K156" s="568" t="s">
        <v>13</v>
      </c>
      <c r="L156" s="569" t="s">
        <v>14</v>
      </c>
    </row>
    <row r="157" spans="1:12" ht="14.95" thickBot="1" x14ac:dyDescent="0.3">
      <c r="A157" s="570">
        <v>1</v>
      </c>
      <c r="B157" s="421" t="s">
        <v>15</v>
      </c>
      <c r="C157" s="571" t="s">
        <v>63</v>
      </c>
      <c r="D157" s="572">
        <v>5</v>
      </c>
      <c r="E157" s="573">
        <v>5</v>
      </c>
      <c r="F157" s="572">
        <v>0</v>
      </c>
      <c r="G157" s="572">
        <v>0</v>
      </c>
      <c r="H157" s="572">
        <v>214</v>
      </c>
      <c r="I157" s="572">
        <v>109</v>
      </c>
      <c r="J157" s="573">
        <v>105</v>
      </c>
      <c r="K157" s="572">
        <v>5</v>
      </c>
      <c r="L157" s="573">
        <v>25</v>
      </c>
    </row>
    <row r="158" spans="1:12" ht="14.95" thickBot="1" x14ac:dyDescent="0.3">
      <c r="A158" s="570">
        <v>2</v>
      </c>
      <c r="B158" s="421" t="s">
        <v>15</v>
      </c>
      <c r="C158" s="571" t="s">
        <v>1</v>
      </c>
      <c r="D158" s="572">
        <v>5</v>
      </c>
      <c r="E158" s="573">
        <v>4</v>
      </c>
      <c r="F158" s="572">
        <v>0</v>
      </c>
      <c r="G158" s="572">
        <v>1</v>
      </c>
      <c r="H158" s="572">
        <v>230</v>
      </c>
      <c r="I158" s="572">
        <v>72</v>
      </c>
      <c r="J158" s="573">
        <v>158</v>
      </c>
      <c r="K158" s="572">
        <v>4</v>
      </c>
      <c r="L158" s="573">
        <v>20</v>
      </c>
    </row>
    <row r="159" spans="1:12" ht="14.95" thickBot="1" x14ac:dyDescent="0.3">
      <c r="A159" s="574">
        <v>3</v>
      </c>
      <c r="B159" s="420" t="s">
        <v>15</v>
      </c>
      <c r="C159" s="575" t="s">
        <v>52</v>
      </c>
      <c r="D159" s="576">
        <v>5</v>
      </c>
      <c r="E159" s="577">
        <v>2</v>
      </c>
      <c r="F159" s="576">
        <v>2</v>
      </c>
      <c r="G159" s="576">
        <v>1</v>
      </c>
      <c r="H159" s="576">
        <v>140</v>
      </c>
      <c r="I159" s="576">
        <v>137</v>
      </c>
      <c r="J159" s="577">
        <v>3</v>
      </c>
      <c r="K159" s="576">
        <v>5</v>
      </c>
      <c r="L159" s="577">
        <v>17</v>
      </c>
    </row>
    <row r="160" spans="1:12" ht="14.95" thickBot="1" x14ac:dyDescent="0.3">
      <c r="A160" s="574">
        <v>4</v>
      </c>
      <c r="B160" s="420" t="s">
        <v>366</v>
      </c>
      <c r="C160" s="575" t="s">
        <v>540</v>
      </c>
      <c r="D160" s="576">
        <v>4</v>
      </c>
      <c r="E160" s="577">
        <v>2</v>
      </c>
      <c r="F160" s="576">
        <v>1</v>
      </c>
      <c r="G160" s="576">
        <v>1</v>
      </c>
      <c r="H160" s="576">
        <v>144</v>
      </c>
      <c r="I160" s="576">
        <v>112</v>
      </c>
      <c r="J160" s="577">
        <v>32</v>
      </c>
      <c r="K160" s="576">
        <v>3</v>
      </c>
      <c r="L160" s="577">
        <v>13</v>
      </c>
    </row>
    <row r="161" spans="1:12" ht="14.95" thickBot="1" x14ac:dyDescent="0.3">
      <c r="A161" s="578">
        <v>5</v>
      </c>
      <c r="B161" s="579" t="s">
        <v>366</v>
      </c>
      <c r="C161" s="580" t="s">
        <v>62</v>
      </c>
      <c r="D161" s="581">
        <v>5</v>
      </c>
      <c r="E161" s="582">
        <v>1</v>
      </c>
      <c r="F161" s="581">
        <v>1</v>
      </c>
      <c r="G161" s="581">
        <v>3</v>
      </c>
      <c r="H161" s="581">
        <v>130</v>
      </c>
      <c r="I161" s="581">
        <v>166</v>
      </c>
      <c r="J161" s="582">
        <v>-36</v>
      </c>
      <c r="K161" s="581">
        <v>5</v>
      </c>
      <c r="L161" s="582">
        <v>11</v>
      </c>
    </row>
    <row r="162" spans="1:12" ht="14.95" thickBot="1" x14ac:dyDescent="0.3">
      <c r="A162" s="578">
        <v>6</v>
      </c>
      <c r="B162" s="579" t="s">
        <v>486</v>
      </c>
      <c r="C162" s="580" t="s">
        <v>100</v>
      </c>
      <c r="D162" s="581">
        <v>4</v>
      </c>
      <c r="E162" s="582">
        <v>2</v>
      </c>
      <c r="F162" s="581">
        <v>0</v>
      </c>
      <c r="G162" s="581">
        <v>2</v>
      </c>
      <c r="H162" s="581">
        <v>126</v>
      </c>
      <c r="I162" s="581">
        <v>122</v>
      </c>
      <c r="J162" s="582">
        <v>4</v>
      </c>
      <c r="K162" s="581">
        <v>2</v>
      </c>
      <c r="L162" s="582">
        <v>10</v>
      </c>
    </row>
    <row r="163" spans="1:12" ht="14.95" thickBot="1" x14ac:dyDescent="0.3">
      <c r="A163" s="578">
        <v>7</v>
      </c>
      <c r="B163" s="579" t="s">
        <v>15</v>
      </c>
      <c r="C163" s="580" t="s">
        <v>0</v>
      </c>
      <c r="D163" s="581">
        <v>4</v>
      </c>
      <c r="E163" s="582">
        <v>1</v>
      </c>
      <c r="F163" s="581">
        <v>0</v>
      </c>
      <c r="G163" s="581">
        <v>3</v>
      </c>
      <c r="H163" s="581">
        <v>107</v>
      </c>
      <c r="I163" s="581">
        <v>148</v>
      </c>
      <c r="J163" s="582">
        <v>-41</v>
      </c>
      <c r="K163" s="581">
        <v>4</v>
      </c>
      <c r="L163" s="582">
        <v>8</v>
      </c>
    </row>
    <row r="164" spans="1:12" ht="14.95" thickBot="1" x14ac:dyDescent="0.3">
      <c r="A164" s="578">
        <v>8</v>
      </c>
      <c r="B164" s="579" t="s">
        <v>15</v>
      </c>
      <c r="C164" s="580" t="s">
        <v>49</v>
      </c>
      <c r="D164" s="581">
        <v>4</v>
      </c>
      <c r="E164" s="582">
        <v>1</v>
      </c>
      <c r="F164" s="581">
        <v>0</v>
      </c>
      <c r="G164" s="581">
        <v>3</v>
      </c>
      <c r="H164" s="581">
        <v>119</v>
      </c>
      <c r="I164" s="581">
        <v>132</v>
      </c>
      <c r="J164" s="582">
        <v>-13</v>
      </c>
      <c r="K164" s="581">
        <v>1</v>
      </c>
      <c r="L164" s="582">
        <v>5</v>
      </c>
    </row>
    <row r="165" spans="1:12" ht="14.95" thickBot="1" x14ac:dyDescent="0.3">
      <c r="A165" s="578">
        <v>9</v>
      </c>
      <c r="B165" s="579" t="s">
        <v>15</v>
      </c>
      <c r="C165" s="580" t="s">
        <v>70</v>
      </c>
      <c r="D165" s="581">
        <v>4</v>
      </c>
      <c r="E165" s="582">
        <v>0</v>
      </c>
      <c r="F165" s="581">
        <v>0</v>
      </c>
      <c r="G165" s="581">
        <v>4</v>
      </c>
      <c r="H165" s="581">
        <v>37</v>
      </c>
      <c r="I165" s="581">
        <v>249</v>
      </c>
      <c r="J165" s="582">
        <v>-212</v>
      </c>
      <c r="K165" s="581">
        <v>0</v>
      </c>
      <c r="L165" s="582">
        <v>0</v>
      </c>
    </row>
    <row r="166" spans="1:12" x14ac:dyDescent="0.25">
      <c r="A166" s="62"/>
    </row>
    <row r="167" spans="1:12" x14ac:dyDescent="0.25">
      <c r="A167" s="146" t="s">
        <v>455</v>
      </c>
    </row>
    <row r="168" spans="1:12" ht="14.95" thickBot="1" x14ac:dyDescent="0.3">
      <c r="A168" s="62"/>
    </row>
    <row r="169" spans="1:12" ht="14.95" thickBot="1" x14ac:dyDescent="0.3">
      <c r="A169" s="567" t="s">
        <v>5</v>
      </c>
      <c r="B169" s="568" t="s">
        <v>6</v>
      </c>
      <c r="C169" s="568"/>
      <c r="D169" s="568" t="s">
        <v>7</v>
      </c>
      <c r="E169" s="569" t="s">
        <v>8</v>
      </c>
      <c r="F169" s="568" t="s">
        <v>9</v>
      </c>
      <c r="G169" s="568" t="s">
        <v>10</v>
      </c>
      <c r="H169" s="568" t="s">
        <v>11</v>
      </c>
      <c r="I169" s="568" t="s">
        <v>12</v>
      </c>
      <c r="J169" s="569" t="s">
        <v>51</v>
      </c>
      <c r="K169" s="568" t="s">
        <v>13</v>
      </c>
      <c r="L169" s="569" t="s">
        <v>14</v>
      </c>
    </row>
    <row r="170" spans="1:12" ht="14.95" thickBot="1" x14ac:dyDescent="0.3">
      <c r="A170" s="570">
        <v>1</v>
      </c>
      <c r="B170" s="421" t="s">
        <v>15</v>
      </c>
      <c r="C170" s="571" t="s">
        <v>63</v>
      </c>
      <c r="D170" s="572">
        <v>4</v>
      </c>
      <c r="E170" s="573">
        <v>4</v>
      </c>
      <c r="F170" s="572">
        <v>0</v>
      </c>
      <c r="G170" s="572">
        <v>0</v>
      </c>
      <c r="H170" s="572">
        <v>160</v>
      </c>
      <c r="I170" s="572">
        <v>95</v>
      </c>
      <c r="J170" s="573">
        <v>65</v>
      </c>
      <c r="K170" s="572">
        <v>4</v>
      </c>
      <c r="L170" s="573">
        <v>20</v>
      </c>
    </row>
    <row r="171" spans="1:12" ht="14.95" thickBot="1" x14ac:dyDescent="0.3">
      <c r="A171" s="570">
        <v>2</v>
      </c>
      <c r="B171" s="421" t="s">
        <v>15</v>
      </c>
      <c r="C171" s="571" t="s">
        <v>1</v>
      </c>
      <c r="D171" s="572">
        <v>4</v>
      </c>
      <c r="E171" s="573">
        <v>3</v>
      </c>
      <c r="F171" s="572">
        <v>0</v>
      </c>
      <c r="G171" s="572">
        <v>1</v>
      </c>
      <c r="H171" s="572">
        <v>173</v>
      </c>
      <c r="I171" s="572">
        <v>67</v>
      </c>
      <c r="J171" s="573">
        <v>106</v>
      </c>
      <c r="K171" s="572">
        <v>3</v>
      </c>
      <c r="L171" s="573">
        <v>15</v>
      </c>
    </row>
    <row r="172" spans="1:12" ht="14.95" thickBot="1" x14ac:dyDescent="0.3">
      <c r="A172" s="574">
        <v>3</v>
      </c>
      <c r="B172" s="420" t="s">
        <v>15</v>
      </c>
      <c r="C172" s="575" t="s">
        <v>52</v>
      </c>
      <c r="D172" s="576">
        <v>4</v>
      </c>
      <c r="E172" s="577">
        <v>2</v>
      </c>
      <c r="F172" s="576">
        <v>1</v>
      </c>
      <c r="G172" s="576">
        <v>1</v>
      </c>
      <c r="H172" s="576">
        <v>114</v>
      </c>
      <c r="I172" s="576">
        <v>111</v>
      </c>
      <c r="J172" s="577">
        <v>3</v>
      </c>
      <c r="K172" s="576">
        <v>4</v>
      </c>
      <c r="L172" s="577">
        <v>14</v>
      </c>
    </row>
    <row r="173" spans="1:12" ht="14.95" thickBot="1" x14ac:dyDescent="0.3">
      <c r="A173" s="574">
        <v>4</v>
      </c>
      <c r="B173" s="420" t="s">
        <v>465</v>
      </c>
      <c r="C173" s="575" t="s">
        <v>100</v>
      </c>
      <c r="D173" s="576">
        <v>3</v>
      </c>
      <c r="E173" s="577">
        <v>2</v>
      </c>
      <c r="F173" s="576">
        <v>0</v>
      </c>
      <c r="G173" s="576">
        <v>1</v>
      </c>
      <c r="H173" s="576">
        <v>121</v>
      </c>
      <c r="I173" s="576">
        <v>65</v>
      </c>
      <c r="J173" s="577">
        <v>56</v>
      </c>
      <c r="K173" s="576">
        <v>2</v>
      </c>
      <c r="L173" s="577">
        <v>10</v>
      </c>
    </row>
    <row r="174" spans="1:12" ht="14.95" thickBot="1" x14ac:dyDescent="0.3">
      <c r="A174" s="578">
        <v>5</v>
      </c>
      <c r="B174" s="579" t="s">
        <v>367</v>
      </c>
      <c r="C174" s="580" t="s">
        <v>540</v>
      </c>
      <c r="D174" s="581">
        <v>3</v>
      </c>
      <c r="E174" s="582">
        <v>1</v>
      </c>
      <c r="F174" s="581">
        <v>1</v>
      </c>
      <c r="G174" s="581">
        <v>1</v>
      </c>
      <c r="H174" s="581">
        <v>94</v>
      </c>
      <c r="I174" s="581">
        <v>97</v>
      </c>
      <c r="J174" s="582">
        <v>-3</v>
      </c>
      <c r="K174" s="581">
        <v>2</v>
      </c>
      <c r="L174" s="582">
        <v>8</v>
      </c>
    </row>
    <row r="175" spans="1:12" ht="14.95" thickBot="1" x14ac:dyDescent="0.3">
      <c r="A175" s="578">
        <v>6</v>
      </c>
      <c r="B175" s="579" t="s">
        <v>367</v>
      </c>
      <c r="C175" s="580" t="s">
        <v>62</v>
      </c>
      <c r="D175" s="581">
        <v>4</v>
      </c>
      <c r="E175" s="582">
        <v>1</v>
      </c>
      <c r="F175" s="581">
        <v>0</v>
      </c>
      <c r="G175" s="581">
        <v>3</v>
      </c>
      <c r="H175" s="581">
        <v>104</v>
      </c>
      <c r="I175" s="581">
        <v>140</v>
      </c>
      <c r="J175" s="582">
        <v>-36</v>
      </c>
      <c r="K175" s="581">
        <v>4</v>
      </c>
      <c r="L175" s="582">
        <v>8</v>
      </c>
    </row>
    <row r="176" spans="1:12" ht="14.95" thickBot="1" x14ac:dyDescent="0.3">
      <c r="A176" s="578">
        <v>7</v>
      </c>
      <c r="B176" s="579" t="s">
        <v>367</v>
      </c>
      <c r="C176" s="580" t="s">
        <v>0</v>
      </c>
      <c r="D176" s="581">
        <v>4</v>
      </c>
      <c r="E176" s="582">
        <v>1</v>
      </c>
      <c r="F176" s="581">
        <v>0</v>
      </c>
      <c r="G176" s="581">
        <v>3</v>
      </c>
      <c r="H176" s="581">
        <v>107</v>
      </c>
      <c r="I176" s="581">
        <v>148</v>
      </c>
      <c r="J176" s="582">
        <v>-41</v>
      </c>
      <c r="K176" s="581">
        <v>4</v>
      </c>
      <c r="L176" s="582">
        <v>8</v>
      </c>
    </row>
    <row r="177" spans="1:12" ht="14.95" thickBot="1" x14ac:dyDescent="0.3">
      <c r="A177" s="578">
        <v>8</v>
      </c>
      <c r="B177" s="579" t="s">
        <v>367</v>
      </c>
      <c r="C177" s="580" t="s">
        <v>49</v>
      </c>
      <c r="D177" s="581">
        <v>3</v>
      </c>
      <c r="E177" s="582">
        <v>1</v>
      </c>
      <c r="F177" s="581">
        <v>0</v>
      </c>
      <c r="G177" s="581">
        <v>2</v>
      </c>
      <c r="H177" s="581">
        <v>105</v>
      </c>
      <c r="I177" s="581">
        <v>78</v>
      </c>
      <c r="J177" s="582">
        <v>27</v>
      </c>
      <c r="K177" s="581">
        <v>1</v>
      </c>
      <c r="L177" s="582">
        <v>5</v>
      </c>
    </row>
    <row r="178" spans="1:12" ht="14.95" thickBot="1" x14ac:dyDescent="0.3">
      <c r="A178" s="578">
        <v>9</v>
      </c>
      <c r="B178" s="579" t="s">
        <v>15</v>
      </c>
      <c r="C178" s="580" t="s">
        <v>70</v>
      </c>
      <c r="D178" s="581">
        <v>3</v>
      </c>
      <c r="E178" s="582">
        <v>0</v>
      </c>
      <c r="F178" s="581">
        <v>0</v>
      </c>
      <c r="G178" s="581">
        <v>3</v>
      </c>
      <c r="H178" s="581">
        <v>22</v>
      </c>
      <c r="I178" s="581">
        <v>199</v>
      </c>
      <c r="J178" s="582">
        <v>-177</v>
      </c>
      <c r="K178" s="581">
        <v>0</v>
      </c>
      <c r="L178" s="582">
        <v>0</v>
      </c>
    </row>
    <row r="179" spans="1:12" x14ac:dyDescent="0.25">
      <c r="A179" s="62"/>
    </row>
    <row r="180" spans="1:12" x14ac:dyDescent="0.25">
      <c r="A180" s="146" t="s">
        <v>382</v>
      </c>
    </row>
    <row r="181" spans="1:12" ht="14.95" thickBot="1" x14ac:dyDescent="0.3">
      <c r="A181" s="62"/>
    </row>
    <row r="182" spans="1:12" ht="14.95" thickBot="1" x14ac:dyDescent="0.3">
      <c r="A182" s="567" t="s">
        <v>5</v>
      </c>
      <c r="B182" s="568" t="s">
        <v>6</v>
      </c>
      <c r="C182" s="568"/>
      <c r="D182" s="568" t="s">
        <v>7</v>
      </c>
      <c r="E182" s="569" t="s">
        <v>8</v>
      </c>
      <c r="F182" s="568" t="s">
        <v>9</v>
      </c>
      <c r="G182" s="568" t="s">
        <v>10</v>
      </c>
      <c r="H182" s="568" t="s">
        <v>11</v>
      </c>
      <c r="I182" s="568" t="s">
        <v>12</v>
      </c>
      <c r="J182" s="569" t="s">
        <v>51</v>
      </c>
      <c r="K182" s="568" t="s">
        <v>13</v>
      </c>
      <c r="L182" s="569" t="s">
        <v>14</v>
      </c>
    </row>
    <row r="183" spans="1:12" ht="14.95" thickBot="1" x14ac:dyDescent="0.3">
      <c r="A183" s="570">
        <v>1</v>
      </c>
      <c r="B183" s="421" t="s">
        <v>15</v>
      </c>
      <c r="C183" s="571" t="s">
        <v>63</v>
      </c>
      <c r="D183" s="572">
        <v>3</v>
      </c>
      <c r="E183" s="573">
        <v>3</v>
      </c>
      <c r="F183" s="572">
        <v>0</v>
      </c>
      <c r="G183" s="572">
        <v>0</v>
      </c>
      <c r="H183" s="572">
        <v>120</v>
      </c>
      <c r="I183" s="572">
        <v>71</v>
      </c>
      <c r="J183" s="573">
        <v>49</v>
      </c>
      <c r="K183" s="572">
        <v>3</v>
      </c>
      <c r="L183" s="573">
        <v>15</v>
      </c>
    </row>
    <row r="184" spans="1:12" ht="14.95" thickBot="1" x14ac:dyDescent="0.3">
      <c r="A184" s="570">
        <v>2</v>
      </c>
      <c r="B184" s="421" t="s">
        <v>369</v>
      </c>
      <c r="C184" s="571" t="s">
        <v>1</v>
      </c>
      <c r="D184" s="572">
        <v>3</v>
      </c>
      <c r="E184" s="573">
        <v>2</v>
      </c>
      <c r="F184" s="572">
        <v>0</v>
      </c>
      <c r="G184" s="572">
        <v>1</v>
      </c>
      <c r="H184" s="572">
        <v>94</v>
      </c>
      <c r="I184" s="572">
        <v>62</v>
      </c>
      <c r="J184" s="573">
        <v>32</v>
      </c>
      <c r="K184" s="572">
        <v>2</v>
      </c>
      <c r="L184" s="573">
        <v>10</v>
      </c>
    </row>
    <row r="185" spans="1:12" ht="14.95" thickBot="1" x14ac:dyDescent="0.3">
      <c r="A185" s="574">
        <v>3</v>
      </c>
      <c r="B185" s="420" t="s">
        <v>15</v>
      </c>
      <c r="C185" s="575" t="s">
        <v>52</v>
      </c>
      <c r="D185" s="576">
        <v>3</v>
      </c>
      <c r="E185" s="577">
        <v>1</v>
      </c>
      <c r="F185" s="576">
        <v>1</v>
      </c>
      <c r="G185" s="576">
        <v>1</v>
      </c>
      <c r="H185" s="576">
        <v>88</v>
      </c>
      <c r="I185" s="576">
        <v>92</v>
      </c>
      <c r="J185" s="577">
        <v>-4</v>
      </c>
      <c r="K185" s="576">
        <v>3</v>
      </c>
      <c r="L185" s="577">
        <v>9</v>
      </c>
    </row>
    <row r="186" spans="1:12" ht="14.95" thickBot="1" x14ac:dyDescent="0.3">
      <c r="A186" s="574">
        <v>4</v>
      </c>
      <c r="B186" s="420" t="s">
        <v>368</v>
      </c>
      <c r="C186" s="575" t="s">
        <v>540</v>
      </c>
      <c r="D186" s="576">
        <v>3</v>
      </c>
      <c r="E186" s="577">
        <v>1</v>
      </c>
      <c r="F186" s="576">
        <v>1</v>
      </c>
      <c r="G186" s="576">
        <v>1</v>
      </c>
      <c r="H186" s="576">
        <v>94</v>
      </c>
      <c r="I186" s="576">
        <v>97</v>
      </c>
      <c r="J186" s="577">
        <v>-3</v>
      </c>
      <c r="K186" s="576">
        <v>2</v>
      </c>
      <c r="L186" s="577">
        <v>8</v>
      </c>
    </row>
    <row r="187" spans="1:12" ht="14.95" thickBot="1" x14ac:dyDescent="0.3">
      <c r="A187" s="578">
        <v>5</v>
      </c>
      <c r="B187" s="579" t="s">
        <v>370</v>
      </c>
      <c r="C187" s="580" t="s">
        <v>62</v>
      </c>
      <c r="D187" s="581">
        <v>3</v>
      </c>
      <c r="E187" s="582">
        <v>1</v>
      </c>
      <c r="F187" s="581">
        <v>0</v>
      </c>
      <c r="G187" s="581">
        <v>2</v>
      </c>
      <c r="H187" s="581">
        <v>80</v>
      </c>
      <c r="I187" s="581">
        <v>100</v>
      </c>
      <c r="J187" s="582">
        <v>-20</v>
      </c>
      <c r="K187" s="581">
        <v>3</v>
      </c>
      <c r="L187" s="582">
        <v>7</v>
      </c>
    </row>
    <row r="188" spans="1:12" ht="14.95" thickBot="1" x14ac:dyDescent="0.3">
      <c r="A188" s="578">
        <v>6</v>
      </c>
      <c r="B188" s="579" t="s">
        <v>366</v>
      </c>
      <c r="C188" s="580" t="s">
        <v>0</v>
      </c>
      <c r="D188" s="581">
        <v>3</v>
      </c>
      <c r="E188" s="582">
        <v>1</v>
      </c>
      <c r="F188" s="581">
        <v>0</v>
      </c>
      <c r="G188" s="581">
        <v>2</v>
      </c>
      <c r="H188" s="581">
        <v>88</v>
      </c>
      <c r="I188" s="581">
        <v>122</v>
      </c>
      <c r="J188" s="582">
        <v>-34</v>
      </c>
      <c r="K188" s="581">
        <v>3</v>
      </c>
      <c r="L188" s="582">
        <v>7</v>
      </c>
    </row>
    <row r="189" spans="1:12" ht="14.95" thickBot="1" x14ac:dyDescent="0.3">
      <c r="A189" s="578">
        <v>7</v>
      </c>
      <c r="B189" s="579" t="s">
        <v>370</v>
      </c>
      <c r="C189" s="580" t="s">
        <v>49</v>
      </c>
      <c r="D189" s="581">
        <v>2</v>
      </c>
      <c r="E189" s="582">
        <v>1</v>
      </c>
      <c r="F189" s="581">
        <v>0</v>
      </c>
      <c r="G189" s="581">
        <v>1</v>
      </c>
      <c r="H189" s="581">
        <v>86</v>
      </c>
      <c r="I189" s="581">
        <v>33</v>
      </c>
      <c r="J189" s="582">
        <v>53</v>
      </c>
      <c r="K189" s="581">
        <v>1</v>
      </c>
      <c r="L189" s="582">
        <v>5</v>
      </c>
    </row>
    <row r="190" spans="1:12" ht="14.95" thickBot="1" x14ac:dyDescent="0.3">
      <c r="A190" s="578">
        <v>8</v>
      </c>
      <c r="B190" s="579" t="s">
        <v>15</v>
      </c>
      <c r="C190" s="580" t="s">
        <v>100</v>
      </c>
      <c r="D190" s="581">
        <v>2</v>
      </c>
      <c r="E190" s="582">
        <v>1</v>
      </c>
      <c r="F190" s="581">
        <v>0</v>
      </c>
      <c r="G190" s="581">
        <v>1</v>
      </c>
      <c r="H190" s="581">
        <v>76</v>
      </c>
      <c r="I190" s="581">
        <v>46</v>
      </c>
      <c r="J190" s="582">
        <v>30</v>
      </c>
      <c r="K190" s="581">
        <v>1</v>
      </c>
      <c r="L190" s="582">
        <v>5</v>
      </c>
    </row>
    <row r="191" spans="1:12" ht="14.95" thickBot="1" x14ac:dyDescent="0.3">
      <c r="A191" s="578">
        <v>9</v>
      </c>
      <c r="B191" s="579" t="s">
        <v>15</v>
      </c>
      <c r="C191" s="580" t="s">
        <v>70</v>
      </c>
      <c r="D191" s="581">
        <v>2</v>
      </c>
      <c r="E191" s="582">
        <v>0</v>
      </c>
      <c r="F191" s="581">
        <v>0</v>
      </c>
      <c r="G191" s="581">
        <v>2</v>
      </c>
      <c r="H191" s="581">
        <v>17</v>
      </c>
      <c r="I191" s="581">
        <v>120</v>
      </c>
      <c r="J191" s="582">
        <v>-103</v>
      </c>
      <c r="K191" s="581">
        <v>0</v>
      </c>
      <c r="L191" s="582">
        <v>0</v>
      </c>
    </row>
    <row r="192" spans="1:12" x14ac:dyDescent="0.25">
      <c r="A192" s="62"/>
    </row>
    <row r="193" spans="1:12" x14ac:dyDescent="0.25">
      <c r="A193" s="146" t="s">
        <v>344</v>
      </c>
    </row>
    <row r="194" spans="1:12" ht="14.95" thickBot="1" x14ac:dyDescent="0.3">
      <c r="A194" s="62"/>
    </row>
    <row r="195" spans="1:12" ht="14.95" thickBot="1" x14ac:dyDescent="0.3">
      <c r="A195" s="567" t="s">
        <v>5</v>
      </c>
      <c r="B195" s="568" t="s">
        <v>6</v>
      </c>
      <c r="C195" s="568"/>
      <c r="D195" s="568" t="s">
        <v>7</v>
      </c>
      <c r="E195" s="569" t="s">
        <v>8</v>
      </c>
      <c r="F195" s="568" t="s">
        <v>9</v>
      </c>
      <c r="G195" s="568" t="s">
        <v>10</v>
      </c>
      <c r="H195" s="568" t="s">
        <v>11</v>
      </c>
      <c r="I195" s="568" t="s">
        <v>12</v>
      </c>
      <c r="J195" s="569" t="s">
        <v>51</v>
      </c>
      <c r="K195" s="568" t="s">
        <v>13</v>
      </c>
      <c r="L195" s="569" t="s">
        <v>14</v>
      </c>
    </row>
    <row r="196" spans="1:12" ht="14.95" thickBot="1" x14ac:dyDescent="0.3">
      <c r="A196" s="570">
        <v>1</v>
      </c>
      <c r="B196" s="421" t="s">
        <v>366</v>
      </c>
      <c r="C196" s="571" t="s">
        <v>63</v>
      </c>
      <c r="D196" s="572">
        <v>2</v>
      </c>
      <c r="E196" s="573">
        <v>2</v>
      </c>
      <c r="F196" s="572">
        <v>0</v>
      </c>
      <c r="G196" s="572">
        <v>0</v>
      </c>
      <c r="H196" s="572">
        <v>87</v>
      </c>
      <c r="I196" s="572">
        <v>45</v>
      </c>
      <c r="J196" s="573">
        <v>42</v>
      </c>
      <c r="K196" s="572">
        <v>2</v>
      </c>
      <c r="L196" s="573">
        <v>10</v>
      </c>
    </row>
    <row r="197" spans="1:12" ht="14.95" thickBot="1" x14ac:dyDescent="0.3">
      <c r="A197" s="570">
        <v>2</v>
      </c>
      <c r="B197" s="421" t="s">
        <v>367</v>
      </c>
      <c r="C197" s="571" t="s">
        <v>62</v>
      </c>
      <c r="D197" s="572">
        <v>2</v>
      </c>
      <c r="E197" s="573">
        <v>1</v>
      </c>
      <c r="F197" s="572">
        <v>0</v>
      </c>
      <c r="G197" s="572">
        <v>1</v>
      </c>
      <c r="H197" s="572">
        <v>58</v>
      </c>
      <c r="I197" s="572">
        <v>36</v>
      </c>
      <c r="J197" s="573">
        <v>22</v>
      </c>
      <c r="K197" s="572">
        <v>2</v>
      </c>
      <c r="L197" s="573">
        <v>6</v>
      </c>
    </row>
    <row r="198" spans="1:12" ht="14.95" thickBot="1" x14ac:dyDescent="0.3">
      <c r="A198" s="574">
        <v>3</v>
      </c>
      <c r="B198" s="420" t="s">
        <v>15</v>
      </c>
      <c r="C198" s="575" t="s">
        <v>52</v>
      </c>
      <c r="D198" s="576">
        <v>2</v>
      </c>
      <c r="E198" s="577">
        <v>1</v>
      </c>
      <c r="F198" s="576">
        <v>0</v>
      </c>
      <c r="G198" s="576">
        <v>1</v>
      </c>
      <c r="H198" s="576">
        <v>55</v>
      </c>
      <c r="I198" s="576">
        <v>59</v>
      </c>
      <c r="J198" s="577">
        <v>-4</v>
      </c>
      <c r="K198" s="576">
        <v>2</v>
      </c>
      <c r="L198" s="577">
        <v>6</v>
      </c>
    </row>
    <row r="199" spans="1:12" ht="14.95" thickBot="1" x14ac:dyDescent="0.3">
      <c r="A199" s="574">
        <v>4</v>
      </c>
      <c r="B199" s="420" t="s">
        <v>368</v>
      </c>
      <c r="C199" s="575" t="s">
        <v>49</v>
      </c>
      <c r="D199" s="576">
        <v>1</v>
      </c>
      <c r="E199" s="577">
        <v>1</v>
      </c>
      <c r="F199" s="576">
        <v>0</v>
      </c>
      <c r="G199" s="576">
        <v>0</v>
      </c>
      <c r="H199" s="576">
        <v>74</v>
      </c>
      <c r="I199" s="576">
        <v>0</v>
      </c>
      <c r="J199" s="577">
        <v>74</v>
      </c>
      <c r="K199" s="576">
        <v>1</v>
      </c>
      <c r="L199" s="577">
        <v>5</v>
      </c>
    </row>
    <row r="200" spans="1:12" ht="14.95" thickBot="1" x14ac:dyDescent="0.3">
      <c r="A200" s="578">
        <v>5</v>
      </c>
      <c r="B200" s="579" t="s">
        <v>369</v>
      </c>
      <c r="C200" s="580" t="s">
        <v>1</v>
      </c>
      <c r="D200" s="581">
        <v>2</v>
      </c>
      <c r="E200" s="582">
        <v>1</v>
      </c>
      <c r="F200" s="581">
        <v>0</v>
      </c>
      <c r="G200" s="581">
        <v>1</v>
      </c>
      <c r="H200" s="581">
        <v>61</v>
      </c>
      <c r="I200" s="581">
        <v>50</v>
      </c>
      <c r="J200" s="582">
        <v>11</v>
      </c>
      <c r="K200" s="581">
        <v>1</v>
      </c>
      <c r="L200" s="582">
        <v>5</v>
      </c>
    </row>
    <row r="201" spans="1:12" ht="14.95" thickBot="1" x14ac:dyDescent="0.3">
      <c r="A201" s="578">
        <v>6</v>
      </c>
      <c r="B201" s="579" t="s">
        <v>367</v>
      </c>
      <c r="C201" s="580" t="s">
        <v>540</v>
      </c>
      <c r="D201" s="581">
        <v>2</v>
      </c>
      <c r="E201" s="582">
        <v>1</v>
      </c>
      <c r="F201" s="581">
        <v>0</v>
      </c>
      <c r="G201" s="581">
        <v>1</v>
      </c>
      <c r="H201" s="581">
        <v>61</v>
      </c>
      <c r="I201" s="581">
        <v>64</v>
      </c>
      <c r="J201" s="582">
        <v>-3</v>
      </c>
      <c r="K201" s="581">
        <v>1</v>
      </c>
      <c r="L201" s="582">
        <v>5</v>
      </c>
    </row>
    <row r="202" spans="1:12" ht="14.95" thickBot="1" x14ac:dyDescent="0.3">
      <c r="A202" s="578">
        <v>7</v>
      </c>
      <c r="B202" s="579" t="s">
        <v>370</v>
      </c>
      <c r="C202" s="580" t="s">
        <v>0</v>
      </c>
      <c r="D202" s="581">
        <v>2</v>
      </c>
      <c r="E202" s="582">
        <v>1</v>
      </c>
      <c r="F202" s="581">
        <v>0</v>
      </c>
      <c r="G202" s="581">
        <v>1</v>
      </c>
      <c r="H202" s="581">
        <v>62</v>
      </c>
      <c r="I202" s="581">
        <v>89</v>
      </c>
      <c r="J202" s="582">
        <v>-27</v>
      </c>
      <c r="K202" s="581">
        <v>1</v>
      </c>
      <c r="L202" s="582">
        <v>5</v>
      </c>
    </row>
    <row r="203" spans="1:12" ht="14.95" thickBot="1" x14ac:dyDescent="0.3">
      <c r="A203" s="578">
        <v>8</v>
      </c>
      <c r="B203" s="579" t="s">
        <v>367</v>
      </c>
      <c r="C203" s="580" t="s">
        <v>100</v>
      </c>
      <c r="D203" s="581">
        <v>1</v>
      </c>
      <c r="E203" s="582">
        <v>0</v>
      </c>
      <c r="F203" s="581">
        <v>0</v>
      </c>
      <c r="G203" s="581">
        <v>1</v>
      </c>
      <c r="H203" s="581">
        <v>12</v>
      </c>
      <c r="I203" s="581">
        <v>24</v>
      </c>
      <c r="J203" s="582">
        <v>-12</v>
      </c>
      <c r="K203" s="581">
        <v>0</v>
      </c>
      <c r="L203" s="582">
        <v>0</v>
      </c>
    </row>
    <row r="204" spans="1:12" ht="14.95" thickBot="1" x14ac:dyDescent="0.3">
      <c r="A204" s="578">
        <v>9</v>
      </c>
      <c r="B204" s="579" t="s">
        <v>15</v>
      </c>
      <c r="C204" s="580" t="s">
        <v>70</v>
      </c>
      <c r="D204" s="581">
        <v>2</v>
      </c>
      <c r="E204" s="582">
        <v>0</v>
      </c>
      <c r="F204" s="581">
        <v>0</v>
      </c>
      <c r="G204" s="581">
        <v>2</v>
      </c>
      <c r="H204" s="581">
        <v>17</v>
      </c>
      <c r="I204" s="581">
        <v>120</v>
      </c>
      <c r="J204" s="582">
        <v>-103</v>
      </c>
      <c r="K204" s="581">
        <v>0</v>
      </c>
      <c r="L204" s="582">
        <v>0</v>
      </c>
    </row>
    <row r="205" spans="1:12" x14ac:dyDescent="0.25">
      <c r="A205" s="62"/>
    </row>
    <row r="206" spans="1:12" x14ac:dyDescent="0.25">
      <c r="A206" s="146" t="s">
        <v>345</v>
      </c>
    </row>
    <row r="207" spans="1:12" ht="14.95" thickBot="1" x14ac:dyDescent="0.3"/>
    <row r="208" spans="1:12" ht="14.95" thickBot="1" x14ac:dyDescent="0.3">
      <c r="A208" s="567" t="s">
        <v>5</v>
      </c>
      <c r="B208" s="568" t="s">
        <v>6</v>
      </c>
      <c r="C208" s="568"/>
      <c r="D208" s="568" t="s">
        <v>7</v>
      </c>
      <c r="E208" s="569" t="s">
        <v>8</v>
      </c>
      <c r="F208" s="568" t="s">
        <v>9</v>
      </c>
      <c r="G208" s="568" t="s">
        <v>10</v>
      </c>
      <c r="H208" s="568" t="s">
        <v>11</v>
      </c>
      <c r="I208" s="568" t="s">
        <v>12</v>
      </c>
      <c r="J208" s="569" t="s">
        <v>51</v>
      </c>
      <c r="K208" s="568" t="s">
        <v>13</v>
      </c>
      <c r="L208" s="569" t="s">
        <v>14</v>
      </c>
    </row>
    <row r="209" spans="1:12" ht="14.95" thickBot="1" x14ac:dyDescent="0.3">
      <c r="A209" s="570">
        <v>1</v>
      </c>
      <c r="B209" s="421" t="s">
        <v>15</v>
      </c>
      <c r="C209" s="571" t="s">
        <v>62</v>
      </c>
      <c r="D209" s="572">
        <v>1</v>
      </c>
      <c r="E209" s="573">
        <v>1</v>
      </c>
      <c r="F209" s="572">
        <v>0</v>
      </c>
      <c r="G209" s="572">
        <v>0</v>
      </c>
      <c r="H209" s="572">
        <v>46</v>
      </c>
      <c r="I209" s="572">
        <v>17</v>
      </c>
      <c r="J209" s="573">
        <v>29</v>
      </c>
      <c r="K209" s="572">
        <v>1</v>
      </c>
      <c r="L209" s="573">
        <v>5</v>
      </c>
    </row>
    <row r="210" spans="1:12" ht="14.95" thickBot="1" x14ac:dyDescent="0.3">
      <c r="A210" s="570">
        <v>2</v>
      </c>
      <c r="B210" s="421" t="s">
        <v>15</v>
      </c>
      <c r="C210" s="571" t="s">
        <v>63</v>
      </c>
      <c r="D210" s="572">
        <v>1</v>
      </c>
      <c r="E210" s="573">
        <v>1</v>
      </c>
      <c r="F210" s="572">
        <v>0</v>
      </c>
      <c r="G210" s="572">
        <v>0</v>
      </c>
      <c r="H210" s="572">
        <v>40</v>
      </c>
      <c r="I210" s="572">
        <v>14</v>
      </c>
      <c r="J210" s="573">
        <v>26</v>
      </c>
      <c r="K210" s="572">
        <v>1</v>
      </c>
      <c r="L210" s="573">
        <v>5</v>
      </c>
    </row>
    <row r="211" spans="1:12" ht="14.95" thickBot="1" x14ac:dyDescent="0.3">
      <c r="A211" s="574">
        <v>3</v>
      </c>
      <c r="B211" s="420" t="s">
        <v>15</v>
      </c>
      <c r="C211" s="575" t="s">
        <v>52</v>
      </c>
      <c r="D211" s="576">
        <v>1</v>
      </c>
      <c r="E211" s="577">
        <v>1</v>
      </c>
      <c r="F211" s="576">
        <v>0</v>
      </c>
      <c r="G211" s="576">
        <v>0</v>
      </c>
      <c r="H211" s="576">
        <v>24</v>
      </c>
      <c r="I211" s="576">
        <v>12</v>
      </c>
      <c r="J211" s="577">
        <v>12</v>
      </c>
      <c r="K211" s="576">
        <v>1</v>
      </c>
      <c r="L211" s="577">
        <v>5</v>
      </c>
    </row>
    <row r="212" spans="1:12" ht="14.95" thickBot="1" x14ac:dyDescent="0.3">
      <c r="A212" s="574">
        <v>4</v>
      </c>
      <c r="B212" s="420" t="s">
        <v>15</v>
      </c>
      <c r="C212" s="575" t="s">
        <v>0</v>
      </c>
      <c r="D212" s="576">
        <v>1</v>
      </c>
      <c r="E212" s="577">
        <v>1</v>
      </c>
      <c r="F212" s="576">
        <v>0</v>
      </c>
      <c r="G212" s="576">
        <v>0</v>
      </c>
      <c r="H212" s="576">
        <v>52</v>
      </c>
      <c r="I212" s="576">
        <v>42</v>
      </c>
      <c r="J212" s="577">
        <v>10</v>
      </c>
      <c r="K212" s="576">
        <v>1</v>
      </c>
      <c r="L212" s="577">
        <v>5</v>
      </c>
    </row>
    <row r="213" spans="1:12" ht="14.95" thickBot="1" x14ac:dyDescent="0.3">
      <c r="A213" s="578">
        <v>5</v>
      </c>
      <c r="B213" s="579" t="s">
        <v>15</v>
      </c>
      <c r="C213" s="580" t="s">
        <v>540</v>
      </c>
      <c r="D213" s="581">
        <v>1</v>
      </c>
      <c r="E213" s="582">
        <v>0</v>
      </c>
      <c r="F213" s="581">
        <v>0</v>
      </c>
      <c r="G213" s="581">
        <v>1</v>
      </c>
      <c r="H213" s="581">
        <v>42</v>
      </c>
      <c r="I213" s="581">
        <v>52</v>
      </c>
      <c r="J213" s="582">
        <v>-10</v>
      </c>
      <c r="K213" s="581">
        <v>1</v>
      </c>
      <c r="L213" s="582">
        <v>1</v>
      </c>
    </row>
    <row r="214" spans="1:12" ht="14.95" thickBot="1" x14ac:dyDescent="0.3">
      <c r="A214" s="578">
        <v>6</v>
      </c>
      <c r="B214" s="579" t="s">
        <v>15</v>
      </c>
      <c r="C214" s="580" t="s">
        <v>49</v>
      </c>
      <c r="D214" s="581">
        <v>0</v>
      </c>
      <c r="E214" s="582">
        <v>0</v>
      </c>
      <c r="F214" s="581">
        <v>0</v>
      </c>
      <c r="G214" s="581">
        <v>0</v>
      </c>
      <c r="H214" s="581">
        <v>0</v>
      </c>
      <c r="I214" s="581">
        <v>0</v>
      </c>
      <c r="J214" s="582">
        <v>0</v>
      </c>
      <c r="K214" s="581">
        <v>0</v>
      </c>
      <c r="L214" s="582">
        <v>0</v>
      </c>
    </row>
    <row r="215" spans="1:12" ht="14.95" thickBot="1" x14ac:dyDescent="0.3">
      <c r="A215" s="578">
        <v>7</v>
      </c>
      <c r="B215" s="579" t="s">
        <v>15</v>
      </c>
      <c r="C215" s="580" t="s">
        <v>100</v>
      </c>
      <c r="D215" s="581">
        <v>1</v>
      </c>
      <c r="E215" s="582">
        <v>0</v>
      </c>
      <c r="F215" s="581">
        <v>0</v>
      </c>
      <c r="G215" s="581">
        <v>1</v>
      </c>
      <c r="H215" s="581">
        <v>12</v>
      </c>
      <c r="I215" s="581">
        <v>24</v>
      </c>
      <c r="J215" s="582">
        <v>-12</v>
      </c>
      <c r="K215" s="581">
        <v>0</v>
      </c>
      <c r="L215" s="582">
        <v>0</v>
      </c>
    </row>
    <row r="216" spans="1:12" ht="14.95" thickBot="1" x14ac:dyDescent="0.3">
      <c r="A216" s="578">
        <v>8</v>
      </c>
      <c r="B216" s="579" t="s">
        <v>15</v>
      </c>
      <c r="C216" s="580" t="s">
        <v>1</v>
      </c>
      <c r="D216" s="581">
        <v>1</v>
      </c>
      <c r="E216" s="582">
        <v>0</v>
      </c>
      <c r="F216" s="581">
        <v>0</v>
      </c>
      <c r="G216" s="581">
        <v>1</v>
      </c>
      <c r="H216" s="581">
        <v>14</v>
      </c>
      <c r="I216" s="581">
        <v>40</v>
      </c>
      <c r="J216" s="582">
        <v>-26</v>
      </c>
      <c r="K216" s="581">
        <v>0</v>
      </c>
      <c r="L216" s="582">
        <v>0</v>
      </c>
    </row>
    <row r="217" spans="1:12" ht="14.95" thickBot="1" x14ac:dyDescent="0.3">
      <c r="A217" s="578">
        <v>9</v>
      </c>
      <c r="B217" s="579" t="s">
        <v>15</v>
      </c>
      <c r="C217" s="580" t="s">
        <v>70</v>
      </c>
      <c r="D217" s="581">
        <v>1</v>
      </c>
      <c r="E217" s="582">
        <v>0</v>
      </c>
      <c r="F217" s="581">
        <v>0</v>
      </c>
      <c r="G217" s="581">
        <v>1</v>
      </c>
      <c r="H217" s="581">
        <v>17</v>
      </c>
      <c r="I217" s="581">
        <v>46</v>
      </c>
      <c r="J217" s="582">
        <v>-29</v>
      </c>
      <c r="K217" s="581">
        <v>0</v>
      </c>
      <c r="L217" s="582">
        <v>0</v>
      </c>
    </row>
    <row r="218" spans="1:12" ht="16.3" x14ac:dyDescent="0.3">
      <c r="A218" s="475" t="s">
        <v>47</v>
      </c>
    </row>
  </sheetData>
  <sortState xmlns:xlrd2="http://schemas.microsoft.com/office/spreadsheetml/2017/richdata2" ref="A2:L10">
    <sortCondition descending="1" ref="L2:L10"/>
    <sortCondition descending="1" ref="E2:E10"/>
    <sortCondition descending="1" ref="J2:J10"/>
    <sortCondition descending="1" ref="H2:H10"/>
    <sortCondition ref="C2:C10"/>
  </sortState>
  <mergeCells count="16">
    <mergeCell ref="S5:S6"/>
    <mergeCell ref="M5:M6"/>
    <mergeCell ref="N5:N6"/>
    <mergeCell ref="O5:O6"/>
    <mergeCell ref="P5:P6"/>
    <mergeCell ref="Q5:Q6"/>
    <mergeCell ref="R5:R6"/>
    <mergeCell ref="Z5:Z6"/>
    <mergeCell ref="AA5:AA6"/>
    <mergeCell ref="AB5:AB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001B-F7B6-4A87-BBC8-53349DE884EB}">
  <dimension ref="A1:R109"/>
  <sheetViews>
    <sheetView workbookViewId="0">
      <selection activeCell="B2" sqref="B2"/>
    </sheetView>
  </sheetViews>
  <sheetFormatPr defaultRowHeight="14.3" x14ac:dyDescent="0.25"/>
  <cols>
    <col min="2" max="2" width="5.875" bestFit="1" customWidth="1"/>
    <col min="3" max="3" width="2.875" bestFit="1" customWidth="1"/>
    <col min="5" max="5" width="11.5" bestFit="1" customWidth="1"/>
    <col min="6" max="6" width="3.875" bestFit="1" customWidth="1"/>
    <col min="7" max="7" width="0.75" customWidth="1"/>
    <col min="8" max="8" width="2.75" customWidth="1"/>
    <col min="9" max="9" width="11.5" bestFit="1" customWidth="1"/>
    <col min="10" max="10" width="5.875" bestFit="1" customWidth="1"/>
    <col min="11" max="11" width="2.875" bestFit="1" customWidth="1"/>
    <col min="12" max="12" width="0.75" customWidth="1"/>
    <col min="13" max="13" width="2.875" bestFit="1" customWidth="1"/>
    <col min="14" max="14" width="30.75" bestFit="1" customWidth="1"/>
    <col min="15" max="15" width="10.625" bestFit="1" customWidth="1"/>
  </cols>
  <sheetData>
    <row r="1" spans="1:18" x14ac:dyDescent="0.25">
      <c r="A1" s="723" t="s">
        <v>217</v>
      </c>
      <c r="B1" s="724"/>
      <c r="C1" s="724"/>
      <c r="D1" s="724"/>
      <c r="E1" s="724"/>
      <c r="M1" s="184"/>
      <c r="P1" s="722" t="s">
        <v>77</v>
      </c>
      <c r="Q1" s="722"/>
    </row>
    <row r="2" spans="1:18" x14ac:dyDescent="0.25">
      <c r="A2" s="186" t="s">
        <v>78</v>
      </c>
      <c r="B2" s="187">
        <v>1</v>
      </c>
      <c r="C2" s="182"/>
      <c r="D2" s="188" t="s">
        <v>79</v>
      </c>
      <c r="E2" s="189"/>
      <c r="F2" s="181"/>
      <c r="G2" s="190"/>
      <c r="H2" s="191"/>
      <c r="I2" s="189"/>
      <c r="J2" s="189" t="s">
        <v>80</v>
      </c>
      <c r="K2" s="725" t="s">
        <v>18</v>
      </c>
      <c r="L2" s="677"/>
      <c r="M2" s="677"/>
      <c r="N2" s="189" t="s">
        <v>81</v>
      </c>
      <c r="O2" s="189" t="s">
        <v>331</v>
      </c>
      <c r="P2" s="193" t="s">
        <v>82</v>
      </c>
      <c r="Q2" s="193" t="s">
        <v>83</v>
      </c>
      <c r="R2" s="185" t="s">
        <v>84</v>
      </c>
    </row>
    <row r="3" spans="1:18" x14ac:dyDescent="0.25">
      <c r="A3" s="189" t="s">
        <v>187</v>
      </c>
      <c r="B3" s="181" t="s">
        <v>152</v>
      </c>
      <c r="C3" s="182">
        <v>24</v>
      </c>
      <c r="D3" s="188">
        <v>7.3</v>
      </c>
      <c r="E3" s="189" t="s">
        <v>0</v>
      </c>
      <c r="F3" s="181">
        <v>52</v>
      </c>
      <c r="G3" s="190" t="s">
        <v>89</v>
      </c>
      <c r="H3" s="191">
        <v>42</v>
      </c>
      <c r="I3" s="189" t="s">
        <v>540</v>
      </c>
      <c r="J3" s="181" t="s">
        <v>300</v>
      </c>
      <c r="K3" s="181">
        <v>26</v>
      </c>
      <c r="L3" s="181" t="s">
        <v>89</v>
      </c>
      <c r="M3" s="448" t="s">
        <v>301</v>
      </c>
      <c r="N3" s="189" t="s">
        <v>302</v>
      </c>
      <c r="O3" s="189"/>
      <c r="P3" s="563">
        <f t="shared" ref="P3:P41" si="0">SUM(K3+M3)</f>
        <v>54</v>
      </c>
      <c r="Q3" s="430">
        <f t="shared" ref="Q3:Q41" si="1">SUM(R3-P3)</f>
        <v>40</v>
      </c>
      <c r="R3" s="563">
        <f t="shared" ref="R3:R41" si="2">SUM(F3+H3)</f>
        <v>94</v>
      </c>
    </row>
    <row r="4" spans="1:18" x14ac:dyDescent="0.25">
      <c r="A4" s="189" t="s">
        <v>88</v>
      </c>
      <c r="B4" s="181" t="s">
        <v>152</v>
      </c>
      <c r="C4" s="182">
        <v>25</v>
      </c>
      <c r="D4" s="188">
        <v>3</v>
      </c>
      <c r="E4" s="189" t="s">
        <v>100</v>
      </c>
      <c r="F4" s="181">
        <v>12</v>
      </c>
      <c r="G4" s="190" t="s">
        <v>89</v>
      </c>
      <c r="H4" s="191">
        <v>24</v>
      </c>
      <c r="I4" s="189" t="s">
        <v>4</v>
      </c>
      <c r="J4" s="181" t="s">
        <v>307</v>
      </c>
      <c r="K4" s="181">
        <v>0</v>
      </c>
      <c r="L4" s="181" t="s">
        <v>89</v>
      </c>
      <c r="M4" s="448" t="s">
        <v>308</v>
      </c>
      <c r="N4" s="189" t="s">
        <v>310</v>
      </c>
      <c r="O4" s="189"/>
      <c r="P4" s="430">
        <f t="shared" si="0"/>
        <v>19</v>
      </c>
      <c r="Q4" s="430">
        <f t="shared" si="1"/>
        <v>17</v>
      </c>
      <c r="R4" s="428">
        <f t="shared" si="2"/>
        <v>36</v>
      </c>
    </row>
    <row r="5" spans="1:18" x14ac:dyDescent="0.25">
      <c r="A5" s="189" t="s">
        <v>88</v>
      </c>
      <c r="B5" s="181" t="s">
        <v>152</v>
      </c>
      <c r="C5" s="182">
        <v>25</v>
      </c>
      <c r="D5" s="188">
        <v>7</v>
      </c>
      <c r="E5" s="189" t="s">
        <v>3</v>
      </c>
      <c r="F5" s="181">
        <v>46</v>
      </c>
      <c r="G5" s="190" t="s">
        <v>89</v>
      </c>
      <c r="H5" s="191">
        <v>17</v>
      </c>
      <c r="I5" s="189" t="s">
        <v>70</v>
      </c>
      <c r="J5" s="181" t="s">
        <v>317</v>
      </c>
      <c r="K5" s="181">
        <v>34</v>
      </c>
      <c r="L5" s="181" t="s">
        <v>89</v>
      </c>
      <c r="M5" s="448" t="s">
        <v>318</v>
      </c>
      <c r="N5" s="189" t="s">
        <v>319</v>
      </c>
      <c r="O5" s="189"/>
      <c r="P5" s="429">
        <f t="shared" si="0"/>
        <v>39</v>
      </c>
      <c r="Q5" s="429">
        <f t="shared" si="1"/>
        <v>24</v>
      </c>
      <c r="R5" s="429">
        <f t="shared" si="2"/>
        <v>63</v>
      </c>
    </row>
    <row r="6" spans="1:18" x14ac:dyDescent="0.25">
      <c r="A6" s="189" t="s">
        <v>126</v>
      </c>
      <c r="B6" s="181" t="s">
        <v>152</v>
      </c>
      <c r="C6" s="182">
        <v>26</v>
      </c>
      <c r="D6" s="188">
        <v>3</v>
      </c>
      <c r="E6" s="189" t="s">
        <v>63</v>
      </c>
      <c r="F6" s="181">
        <v>40</v>
      </c>
      <c r="G6" s="190" t="s">
        <v>89</v>
      </c>
      <c r="H6" s="191">
        <v>14</v>
      </c>
      <c r="I6" s="189" t="s">
        <v>1</v>
      </c>
      <c r="J6" s="181" t="s">
        <v>317</v>
      </c>
      <c r="K6" s="181">
        <v>19</v>
      </c>
      <c r="L6" s="181" t="s">
        <v>89</v>
      </c>
      <c r="M6" s="448" t="s">
        <v>309</v>
      </c>
      <c r="N6" s="189" t="s">
        <v>329</v>
      </c>
      <c r="O6" s="189" t="s">
        <v>330</v>
      </c>
      <c r="P6" s="430">
        <f t="shared" si="0"/>
        <v>19</v>
      </c>
      <c r="Q6" s="430">
        <f t="shared" si="1"/>
        <v>35</v>
      </c>
      <c r="R6" s="429">
        <f t="shared" si="2"/>
        <v>54</v>
      </c>
    </row>
    <row r="7" spans="1:18" x14ac:dyDescent="0.25">
      <c r="A7" s="195" t="s">
        <v>78</v>
      </c>
      <c r="B7" s="196">
        <v>2</v>
      </c>
      <c r="C7" s="197"/>
      <c r="D7" s="198"/>
      <c r="E7" s="199"/>
      <c r="F7" s="200"/>
      <c r="G7" s="201"/>
      <c r="H7" s="202"/>
      <c r="I7" s="199"/>
      <c r="J7" s="200"/>
      <c r="K7" s="200"/>
      <c r="L7" s="200"/>
      <c r="M7" s="449"/>
      <c r="N7" s="199"/>
      <c r="O7" s="199"/>
      <c r="P7" s="428"/>
      <c r="Q7" s="428"/>
      <c r="R7" s="216"/>
    </row>
    <row r="8" spans="1:18" x14ac:dyDescent="0.25">
      <c r="A8" s="199" t="s">
        <v>88</v>
      </c>
      <c r="B8" s="200" t="s">
        <v>340</v>
      </c>
      <c r="C8" s="197">
        <v>1</v>
      </c>
      <c r="D8" s="198">
        <v>3</v>
      </c>
      <c r="E8" s="199" t="s">
        <v>4</v>
      </c>
      <c r="F8" s="200">
        <v>31</v>
      </c>
      <c r="G8" s="201" t="s">
        <v>89</v>
      </c>
      <c r="H8" s="202">
        <v>47</v>
      </c>
      <c r="I8" s="199" t="s">
        <v>63</v>
      </c>
      <c r="J8" s="200" t="s">
        <v>341</v>
      </c>
      <c r="K8" s="200">
        <v>7</v>
      </c>
      <c r="L8" s="201" t="s">
        <v>89</v>
      </c>
      <c r="M8" s="449" t="s">
        <v>342</v>
      </c>
      <c r="N8" s="199" t="s">
        <v>343</v>
      </c>
      <c r="O8" s="199"/>
      <c r="P8" s="428">
        <f t="shared" si="0"/>
        <v>40</v>
      </c>
      <c r="Q8" s="428">
        <f t="shared" si="1"/>
        <v>38</v>
      </c>
      <c r="R8" s="429">
        <f t="shared" si="2"/>
        <v>78</v>
      </c>
    </row>
    <row r="9" spans="1:18" x14ac:dyDescent="0.25">
      <c r="A9" s="199" t="s">
        <v>126</v>
      </c>
      <c r="B9" s="200" t="s">
        <v>340</v>
      </c>
      <c r="C9" s="197">
        <v>2</v>
      </c>
      <c r="D9" s="198">
        <v>1</v>
      </c>
      <c r="E9" s="199" t="s">
        <v>70</v>
      </c>
      <c r="F9" s="200">
        <v>0</v>
      </c>
      <c r="G9" s="201" t="s">
        <v>89</v>
      </c>
      <c r="H9" s="202">
        <v>74</v>
      </c>
      <c r="I9" s="199" t="s">
        <v>49</v>
      </c>
      <c r="J9" s="200" t="s">
        <v>307</v>
      </c>
      <c r="K9" s="200">
        <v>0</v>
      </c>
      <c r="L9" s="201" t="s">
        <v>89</v>
      </c>
      <c r="M9" s="449" t="s">
        <v>354</v>
      </c>
      <c r="N9" s="199" t="s">
        <v>355</v>
      </c>
      <c r="O9" s="199"/>
      <c r="P9" s="430">
        <f t="shared" si="0"/>
        <v>40</v>
      </c>
      <c r="Q9" s="428">
        <f t="shared" si="1"/>
        <v>34</v>
      </c>
      <c r="R9" s="216">
        <f t="shared" si="2"/>
        <v>74</v>
      </c>
    </row>
    <row r="10" spans="1:18" x14ac:dyDescent="0.25">
      <c r="A10" s="204" t="s">
        <v>126</v>
      </c>
      <c r="B10" s="205" t="s">
        <v>340</v>
      </c>
      <c r="C10" s="197">
        <v>2</v>
      </c>
      <c r="D10" s="198">
        <v>1</v>
      </c>
      <c r="E10" s="199" t="s">
        <v>540</v>
      </c>
      <c r="F10" s="200">
        <v>19</v>
      </c>
      <c r="G10" s="201" t="s">
        <v>89</v>
      </c>
      <c r="H10" s="202">
        <v>12</v>
      </c>
      <c r="I10" s="199" t="s">
        <v>3</v>
      </c>
      <c r="J10" s="200" t="s">
        <v>361</v>
      </c>
      <c r="K10" s="200">
        <v>5</v>
      </c>
      <c r="L10" s="201" t="s">
        <v>89</v>
      </c>
      <c r="M10" s="449" t="s">
        <v>309</v>
      </c>
      <c r="N10" s="199" t="s">
        <v>362</v>
      </c>
      <c r="O10" s="199"/>
      <c r="P10" s="565">
        <f t="shared" si="0"/>
        <v>5</v>
      </c>
      <c r="Q10" s="428">
        <f t="shared" si="1"/>
        <v>26</v>
      </c>
      <c r="R10" s="428">
        <f t="shared" si="2"/>
        <v>31</v>
      </c>
    </row>
    <row r="11" spans="1:18" x14ac:dyDescent="0.25">
      <c r="A11" s="204" t="s">
        <v>126</v>
      </c>
      <c r="B11" s="205" t="s">
        <v>340</v>
      </c>
      <c r="C11" s="197">
        <v>2</v>
      </c>
      <c r="D11" s="198">
        <v>3</v>
      </c>
      <c r="E11" s="199" t="s">
        <v>1</v>
      </c>
      <c r="F11" s="200">
        <v>47</v>
      </c>
      <c r="G11" s="201" t="s">
        <v>89</v>
      </c>
      <c r="H11" s="202">
        <v>10</v>
      </c>
      <c r="I11" s="199" t="s">
        <v>0</v>
      </c>
      <c r="J11" s="200" t="s">
        <v>317</v>
      </c>
      <c r="K11" s="200">
        <v>26</v>
      </c>
      <c r="L11" s="201" t="s">
        <v>89</v>
      </c>
      <c r="M11" s="449" t="s">
        <v>318</v>
      </c>
      <c r="N11" s="199" t="s">
        <v>365</v>
      </c>
      <c r="O11" s="199" t="s">
        <v>330</v>
      </c>
      <c r="P11" s="430">
        <f t="shared" si="0"/>
        <v>31</v>
      </c>
      <c r="Q11" s="428">
        <f t="shared" si="1"/>
        <v>26</v>
      </c>
      <c r="R11" s="216">
        <f t="shared" si="2"/>
        <v>57</v>
      </c>
    </row>
    <row r="12" spans="1:18" x14ac:dyDescent="0.25">
      <c r="A12" s="186" t="s">
        <v>78</v>
      </c>
      <c r="B12" s="187">
        <v>3</v>
      </c>
      <c r="C12" s="182"/>
      <c r="D12" s="188"/>
      <c r="E12" s="189"/>
      <c r="F12" s="181"/>
      <c r="G12" s="190"/>
      <c r="H12" s="191"/>
      <c r="I12" s="189"/>
      <c r="J12" s="181"/>
      <c r="K12" s="181"/>
      <c r="L12" s="181"/>
      <c r="M12" s="448"/>
      <c r="N12" s="189"/>
      <c r="O12" s="189"/>
      <c r="P12" s="428"/>
      <c r="Q12" s="428"/>
      <c r="R12" s="216"/>
    </row>
    <row r="13" spans="1:18" x14ac:dyDescent="0.25">
      <c r="A13" s="189" t="s">
        <v>88</v>
      </c>
      <c r="B13" s="181" t="s">
        <v>340</v>
      </c>
      <c r="C13" s="182">
        <v>8</v>
      </c>
      <c r="D13" s="188">
        <v>3</v>
      </c>
      <c r="E13" s="189" t="s">
        <v>3</v>
      </c>
      <c r="F13" s="181">
        <v>22</v>
      </c>
      <c r="G13" s="190" t="s">
        <v>89</v>
      </c>
      <c r="H13" s="191">
        <v>64</v>
      </c>
      <c r="I13" s="189" t="s">
        <v>100</v>
      </c>
      <c r="J13" s="181" t="s">
        <v>341</v>
      </c>
      <c r="K13" s="181">
        <v>12</v>
      </c>
      <c r="L13" s="190" t="s">
        <v>89</v>
      </c>
      <c r="M13" s="448" t="s">
        <v>387</v>
      </c>
      <c r="N13" s="189" t="s">
        <v>319</v>
      </c>
      <c r="O13" s="189"/>
      <c r="P13" s="430">
        <f t="shared" ref="P13" si="3">SUM(K13+M13)</f>
        <v>48</v>
      </c>
      <c r="Q13" s="430">
        <f t="shared" ref="Q13" si="4">SUM(R13-P13)</f>
        <v>38</v>
      </c>
      <c r="R13" s="430">
        <f t="shared" ref="R13" si="5">SUM(F13+H13)</f>
        <v>86</v>
      </c>
    </row>
    <row r="14" spans="1:18" x14ac:dyDescent="0.25">
      <c r="A14" s="189" t="s">
        <v>126</v>
      </c>
      <c r="B14" s="181" t="s">
        <v>340</v>
      </c>
      <c r="C14" s="182">
        <v>9</v>
      </c>
      <c r="D14" s="188">
        <v>12.3</v>
      </c>
      <c r="E14" s="189" t="s">
        <v>0</v>
      </c>
      <c r="F14" s="191">
        <v>26</v>
      </c>
      <c r="G14" s="190" t="s">
        <v>89</v>
      </c>
      <c r="H14" s="350">
        <v>33</v>
      </c>
      <c r="I14" s="189" t="s">
        <v>63</v>
      </c>
      <c r="J14" s="181" t="s">
        <v>393</v>
      </c>
      <c r="K14" s="181">
        <v>19</v>
      </c>
      <c r="L14" s="190" t="s">
        <v>89</v>
      </c>
      <c r="M14" s="448" t="s">
        <v>394</v>
      </c>
      <c r="N14" s="189" t="s">
        <v>302</v>
      </c>
      <c r="O14" s="189" t="s">
        <v>330</v>
      </c>
      <c r="P14" s="428">
        <f t="shared" si="0"/>
        <v>33</v>
      </c>
      <c r="Q14" s="428">
        <f t="shared" si="1"/>
        <v>26</v>
      </c>
      <c r="R14" s="428">
        <f t="shared" si="2"/>
        <v>59</v>
      </c>
    </row>
    <row r="15" spans="1:18" x14ac:dyDescent="0.25">
      <c r="A15" s="189" t="s">
        <v>126</v>
      </c>
      <c r="B15" s="181" t="s">
        <v>340</v>
      </c>
      <c r="C15" s="182">
        <v>9</v>
      </c>
      <c r="D15" s="188">
        <v>2.2999999999999998</v>
      </c>
      <c r="E15" s="189" t="s">
        <v>49</v>
      </c>
      <c r="F15" s="181">
        <v>12</v>
      </c>
      <c r="G15" s="190" t="s">
        <v>89</v>
      </c>
      <c r="H15" s="191">
        <v>33</v>
      </c>
      <c r="I15" s="189" t="s">
        <v>1</v>
      </c>
      <c r="J15" s="181" t="s">
        <v>307</v>
      </c>
      <c r="K15" s="181">
        <v>12</v>
      </c>
      <c r="L15" s="190" t="s">
        <v>89</v>
      </c>
      <c r="M15" s="448" t="s">
        <v>398</v>
      </c>
      <c r="N15" s="189" t="s">
        <v>399</v>
      </c>
      <c r="O15" s="189"/>
      <c r="P15" s="428">
        <f t="shared" si="0"/>
        <v>33</v>
      </c>
      <c r="Q15" s="428">
        <f t="shared" si="1"/>
        <v>12</v>
      </c>
      <c r="R15" s="428">
        <f t="shared" si="2"/>
        <v>45</v>
      </c>
    </row>
    <row r="16" spans="1:18" x14ac:dyDescent="0.25">
      <c r="A16" s="189" t="s">
        <v>126</v>
      </c>
      <c r="B16" s="181" t="s">
        <v>340</v>
      </c>
      <c r="C16" s="182">
        <v>9</v>
      </c>
      <c r="D16" s="188">
        <v>2.2999999999999998</v>
      </c>
      <c r="E16" s="189" t="s">
        <v>540</v>
      </c>
      <c r="F16" s="181">
        <v>33</v>
      </c>
      <c r="G16" s="190" t="s">
        <v>89</v>
      </c>
      <c r="H16" s="191">
        <v>33</v>
      </c>
      <c r="I16" s="189" t="s">
        <v>4</v>
      </c>
      <c r="J16" s="181" t="s">
        <v>411</v>
      </c>
      <c r="K16" s="181">
        <v>14</v>
      </c>
      <c r="L16" s="190" t="s">
        <v>89</v>
      </c>
      <c r="M16" s="448" t="s">
        <v>394</v>
      </c>
      <c r="N16" s="189" t="s">
        <v>362</v>
      </c>
      <c r="O16" s="189"/>
      <c r="P16" s="428">
        <f t="shared" si="0"/>
        <v>28</v>
      </c>
      <c r="Q16" s="428">
        <f t="shared" si="1"/>
        <v>38</v>
      </c>
      <c r="R16" s="428">
        <f t="shared" si="2"/>
        <v>66</v>
      </c>
    </row>
    <row r="17" spans="1:18" x14ac:dyDescent="0.25">
      <c r="A17" s="195" t="s">
        <v>78</v>
      </c>
      <c r="B17" s="196">
        <v>4</v>
      </c>
      <c r="C17" s="197"/>
      <c r="D17" s="198"/>
      <c r="E17" s="199"/>
      <c r="F17" s="202"/>
      <c r="G17" s="201"/>
      <c r="H17" s="205"/>
      <c r="I17" s="199"/>
      <c r="J17" s="200"/>
      <c r="K17" s="200"/>
      <c r="L17" s="200"/>
      <c r="M17" s="449"/>
      <c r="N17" s="199"/>
      <c r="O17" s="199"/>
      <c r="P17" s="428"/>
      <c r="Q17" s="428"/>
      <c r="R17" s="428"/>
    </row>
    <row r="18" spans="1:18" x14ac:dyDescent="0.25">
      <c r="A18" s="199" t="s">
        <v>88</v>
      </c>
      <c r="B18" s="200" t="s">
        <v>340</v>
      </c>
      <c r="C18" s="197">
        <v>15</v>
      </c>
      <c r="D18" s="198">
        <v>3</v>
      </c>
      <c r="E18" s="199" t="s">
        <v>63</v>
      </c>
      <c r="F18" s="202">
        <v>40</v>
      </c>
      <c r="G18" s="201" t="s">
        <v>89</v>
      </c>
      <c r="H18" s="354">
        <v>24</v>
      </c>
      <c r="I18" s="199" t="s">
        <v>3</v>
      </c>
      <c r="J18" s="200" t="s">
        <v>300</v>
      </c>
      <c r="K18" s="200">
        <v>21</v>
      </c>
      <c r="L18" s="201" t="s">
        <v>89</v>
      </c>
      <c r="M18" s="449" t="s">
        <v>461</v>
      </c>
      <c r="N18" s="199" t="s">
        <v>329</v>
      </c>
      <c r="O18" s="199"/>
      <c r="P18" s="430">
        <f t="shared" si="0"/>
        <v>33</v>
      </c>
      <c r="Q18" s="430">
        <f t="shared" si="1"/>
        <v>31</v>
      </c>
      <c r="R18" s="430">
        <f t="shared" si="2"/>
        <v>64</v>
      </c>
    </row>
    <row r="19" spans="1:18" x14ac:dyDescent="0.25">
      <c r="A19" s="199" t="s">
        <v>88</v>
      </c>
      <c r="B19" s="200" t="s">
        <v>340</v>
      </c>
      <c r="C19" s="197">
        <v>15</v>
      </c>
      <c r="D19" s="198">
        <v>3</v>
      </c>
      <c r="E19" s="199" t="s">
        <v>1</v>
      </c>
      <c r="F19" s="202">
        <v>79</v>
      </c>
      <c r="G19" s="201" t="s">
        <v>89</v>
      </c>
      <c r="H19" s="354">
        <v>5</v>
      </c>
      <c r="I19" s="199" t="s">
        <v>70</v>
      </c>
      <c r="J19" s="200" t="s">
        <v>317</v>
      </c>
      <c r="K19" s="200">
        <v>29</v>
      </c>
      <c r="L19" s="201" t="s">
        <v>89</v>
      </c>
      <c r="M19" s="449" t="s">
        <v>309</v>
      </c>
      <c r="N19" s="199" t="s">
        <v>365</v>
      </c>
      <c r="O19" s="199"/>
      <c r="P19" s="430">
        <f t="shared" si="0"/>
        <v>29</v>
      </c>
      <c r="Q19" s="564">
        <f t="shared" si="1"/>
        <v>55</v>
      </c>
      <c r="R19" s="430">
        <f t="shared" si="2"/>
        <v>84</v>
      </c>
    </row>
    <row r="20" spans="1:18" x14ac:dyDescent="0.25">
      <c r="A20" s="199" t="s">
        <v>88</v>
      </c>
      <c r="B20" s="200" t="s">
        <v>340</v>
      </c>
      <c r="C20" s="197">
        <v>15</v>
      </c>
      <c r="D20" s="198">
        <v>3</v>
      </c>
      <c r="E20" s="199" t="s">
        <v>100</v>
      </c>
      <c r="F20" s="202">
        <v>45</v>
      </c>
      <c r="G20" s="201" t="s">
        <v>89</v>
      </c>
      <c r="H20" s="205">
        <v>19</v>
      </c>
      <c r="I20" s="199" t="s">
        <v>49</v>
      </c>
      <c r="J20" s="200" t="s">
        <v>317</v>
      </c>
      <c r="K20" s="200">
        <v>24</v>
      </c>
      <c r="L20" s="201" t="s">
        <v>89</v>
      </c>
      <c r="M20" s="449" t="s">
        <v>394</v>
      </c>
      <c r="N20" s="199" t="s">
        <v>310</v>
      </c>
      <c r="O20" s="199"/>
      <c r="P20" s="430">
        <f t="shared" si="0"/>
        <v>38</v>
      </c>
      <c r="Q20" s="430">
        <f t="shared" si="1"/>
        <v>26</v>
      </c>
      <c r="R20" s="430">
        <f t="shared" si="2"/>
        <v>64</v>
      </c>
    </row>
    <row r="21" spans="1:18" x14ac:dyDescent="0.25">
      <c r="A21" s="204" t="s">
        <v>126</v>
      </c>
      <c r="B21" s="200" t="s">
        <v>340</v>
      </c>
      <c r="C21" s="197">
        <v>16</v>
      </c>
      <c r="D21" s="198">
        <v>12.3</v>
      </c>
      <c r="E21" s="199" t="s">
        <v>4</v>
      </c>
      <c r="F21" s="200">
        <v>26</v>
      </c>
      <c r="G21" s="201" t="s">
        <v>89</v>
      </c>
      <c r="H21" s="202">
        <v>19</v>
      </c>
      <c r="I21" s="199" t="s">
        <v>0</v>
      </c>
      <c r="J21" s="200" t="s">
        <v>317</v>
      </c>
      <c r="K21" s="200">
        <v>19</v>
      </c>
      <c r="L21" s="201" t="s">
        <v>89</v>
      </c>
      <c r="M21" s="449" t="s">
        <v>309</v>
      </c>
      <c r="N21" s="199" t="s">
        <v>343</v>
      </c>
      <c r="O21" s="199" t="s">
        <v>330</v>
      </c>
      <c r="P21" s="430">
        <f t="shared" si="0"/>
        <v>19</v>
      </c>
      <c r="Q21" s="430">
        <f t="shared" si="1"/>
        <v>26</v>
      </c>
      <c r="R21" s="430">
        <f t="shared" si="2"/>
        <v>45</v>
      </c>
    </row>
    <row r="22" spans="1:18" x14ac:dyDescent="0.25">
      <c r="A22" s="186" t="s">
        <v>78</v>
      </c>
      <c r="B22" s="187">
        <v>5</v>
      </c>
      <c r="C22" s="182"/>
      <c r="D22" s="188"/>
      <c r="E22" s="189"/>
      <c r="F22" s="181"/>
      <c r="G22" s="190"/>
      <c r="H22" s="191"/>
      <c r="I22" s="189"/>
      <c r="J22" s="181"/>
      <c r="K22" s="181"/>
      <c r="L22" s="181"/>
      <c r="M22" s="448"/>
      <c r="N22" s="189"/>
      <c r="O22" s="189"/>
      <c r="P22" s="430"/>
      <c r="Q22" s="430"/>
      <c r="R22" s="430"/>
    </row>
    <row r="23" spans="1:18" x14ac:dyDescent="0.25">
      <c r="A23" s="189" t="s">
        <v>88</v>
      </c>
      <c r="B23" s="181" t="s">
        <v>340</v>
      </c>
      <c r="C23" s="182">
        <v>29</v>
      </c>
      <c r="D23" s="188">
        <v>2</v>
      </c>
      <c r="E23" s="189" t="s">
        <v>3</v>
      </c>
      <c r="F23" s="191">
        <v>26</v>
      </c>
      <c r="G23" s="190" t="s">
        <v>89</v>
      </c>
      <c r="H23" s="207">
        <v>26</v>
      </c>
      <c r="I23" s="189" t="s">
        <v>4</v>
      </c>
      <c r="J23" s="181" t="s">
        <v>411</v>
      </c>
      <c r="K23" s="181">
        <v>12</v>
      </c>
      <c r="L23" s="190" t="s">
        <v>89</v>
      </c>
      <c r="M23" s="448" t="s">
        <v>394</v>
      </c>
      <c r="N23" s="189" t="s">
        <v>319</v>
      </c>
      <c r="O23" s="189"/>
      <c r="P23" s="430">
        <f t="shared" si="0"/>
        <v>26</v>
      </c>
      <c r="Q23" s="430">
        <f t="shared" si="1"/>
        <v>26</v>
      </c>
      <c r="R23" s="430">
        <f t="shared" si="2"/>
        <v>52</v>
      </c>
    </row>
    <row r="24" spans="1:18" x14ac:dyDescent="0.25">
      <c r="A24" s="189" t="s">
        <v>88</v>
      </c>
      <c r="B24" s="181" t="s">
        <v>340</v>
      </c>
      <c r="C24" s="182">
        <v>29</v>
      </c>
      <c r="D24" s="188">
        <v>3</v>
      </c>
      <c r="E24" s="189" t="s">
        <v>540</v>
      </c>
      <c r="F24" s="191">
        <v>50</v>
      </c>
      <c r="G24" s="190" t="s">
        <v>89</v>
      </c>
      <c r="H24" s="207">
        <v>15</v>
      </c>
      <c r="I24" s="189" t="s">
        <v>70</v>
      </c>
      <c r="J24" s="181" t="s">
        <v>317</v>
      </c>
      <c r="K24" s="181">
        <v>26</v>
      </c>
      <c r="L24" s="190" t="s">
        <v>89</v>
      </c>
      <c r="M24" s="448" t="s">
        <v>477</v>
      </c>
      <c r="N24" s="189" t="s">
        <v>362</v>
      </c>
      <c r="O24" s="189"/>
      <c r="P24" s="430">
        <f t="shared" si="0"/>
        <v>36</v>
      </c>
      <c r="Q24" s="430">
        <f t="shared" si="1"/>
        <v>29</v>
      </c>
      <c r="R24" s="430">
        <f t="shared" si="2"/>
        <v>65</v>
      </c>
    </row>
    <row r="25" spans="1:18" x14ac:dyDescent="0.25">
      <c r="A25" s="189" t="s">
        <v>88</v>
      </c>
      <c r="B25" s="181" t="s">
        <v>340</v>
      </c>
      <c r="C25" s="182">
        <v>29</v>
      </c>
      <c r="D25" s="188">
        <v>3</v>
      </c>
      <c r="E25" s="189" t="s">
        <v>100</v>
      </c>
      <c r="F25" s="191">
        <v>5</v>
      </c>
      <c r="G25" s="190" t="s">
        <v>89</v>
      </c>
      <c r="H25" s="191">
        <v>57</v>
      </c>
      <c r="I25" s="189" t="s">
        <v>1</v>
      </c>
      <c r="J25" s="181" t="s">
        <v>307</v>
      </c>
      <c r="K25" s="181">
        <v>5</v>
      </c>
      <c r="L25" s="190" t="s">
        <v>89</v>
      </c>
      <c r="M25" s="448" t="s">
        <v>479</v>
      </c>
      <c r="N25" s="189" t="s">
        <v>310</v>
      </c>
      <c r="O25" s="189"/>
      <c r="P25" s="430">
        <f t="shared" si="0"/>
        <v>36</v>
      </c>
      <c r="Q25" s="430">
        <f t="shared" si="1"/>
        <v>26</v>
      </c>
      <c r="R25" s="430">
        <f t="shared" si="2"/>
        <v>62</v>
      </c>
    </row>
    <row r="26" spans="1:18" x14ac:dyDescent="0.25">
      <c r="A26" s="189" t="s">
        <v>126</v>
      </c>
      <c r="B26" s="181" t="s">
        <v>340</v>
      </c>
      <c r="C26" s="182">
        <v>30</v>
      </c>
      <c r="D26" s="188">
        <v>12.3</v>
      </c>
      <c r="E26" s="189" t="s">
        <v>49</v>
      </c>
      <c r="F26" s="191">
        <v>14</v>
      </c>
      <c r="G26" s="190" t="s">
        <v>89</v>
      </c>
      <c r="H26" s="191">
        <v>54</v>
      </c>
      <c r="I26" s="189" t="s">
        <v>63</v>
      </c>
      <c r="J26" s="181" t="s">
        <v>307</v>
      </c>
      <c r="K26" s="181">
        <v>0</v>
      </c>
      <c r="L26" s="190" t="s">
        <v>89</v>
      </c>
      <c r="M26" s="448" t="s">
        <v>484</v>
      </c>
      <c r="N26" s="180" t="s">
        <v>485</v>
      </c>
      <c r="O26" s="189" t="s">
        <v>330</v>
      </c>
      <c r="P26" s="430">
        <f t="shared" si="0"/>
        <v>35</v>
      </c>
      <c r="Q26" s="430">
        <f t="shared" si="1"/>
        <v>33</v>
      </c>
      <c r="R26" s="430">
        <f t="shared" si="2"/>
        <v>68</v>
      </c>
    </row>
    <row r="27" spans="1:18" x14ac:dyDescent="0.25">
      <c r="A27" s="195" t="s">
        <v>78</v>
      </c>
      <c r="B27" s="196">
        <v>6</v>
      </c>
      <c r="C27" s="197"/>
      <c r="D27" s="198"/>
      <c r="E27" s="199"/>
      <c r="F27" s="200"/>
      <c r="G27" s="201"/>
      <c r="H27" s="202"/>
      <c r="I27" s="199"/>
      <c r="J27" s="200"/>
      <c r="K27" s="200"/>
      <c r="L27" s="200"/>
      <c r="M27" s="449"/>
      <c r="N27" s="199"/>
      <c r="O27" s="199"/>
      <c r="P27" s="430"/>
      <c r="Q27" s="430"/>
      <c r="R27" s="430"/>
    </row>
    <row r="28" spans="1:18" x14ac:dyDescent="0.25">
      <c r="A28" s="204" t="s">
        <v>88</v>
      </c>
      <c r="B28" s="205" t="s">
        <v>492</v>
      </c>
      <c r="C28" s="197">
        <v>6</v>
      </c>
      <c r="D28" s="198">
        <v>1</v>
      </c>
      <c r="E28" s="199" t="s">
        <v>4</v>
      </c>
      <c r="F28" s="200">
        <v>41</v>
      </c>
      <c r="G28" s="201" t="s">
        <v>89</v>
      </c>
      <c r="H28" s="202">
        <v>10</v>
      </c>
      <c r="I28" s="199" t="s">
        <v>49</v>
      </c>
      <c r="J28" s="200" t="s">
        <v>317</v>
      </c>
      <c r="K28" s="200">
        <v>22</v>
      </c>
      <c r="L28" s="201" t="s">
        <v>89</v>
      </c>
      <c r="M28" s="449" t="s">
        <v>318</v>
      </c>
      <c r="N28" s="199" t="s">
        <v>343</v>
      </c>
      <c r="O28" s="199"/>
      <c r="P28" s="430">
        <f t="shared" si="0"/>
        <v>27</v>
      </c>
      <c r="Q28" s="430">
        <f t="shared" si="1"/>
        <v>24</v>
      </c>
      <c r="R28" s="430">
        <f t="shared" si="2"/>
        <v>51</v>
      </c>
    </row>
    <row r="29" spans="1:18" x14ac:dyDescent="0.25">
      <c r="A29" s="204" t="s">
        <v>88</v>
      </c>
      <c r="B29" s="205" t="s">
        <v>492</v>
      </c>
      <c r="C29" s="197">
        <v>6</v>
      </c>
      <c r="D29" s="198">
        <v>3.05</v>
      </c>
      <c r="E29" s="199" t="s">
        <v>63</v>
      </c>
      <c r="F29" s="200">
        <v>29</v>
      </c>
      <c r="G29" s="201" t="s">
        <v>89</v>
      </c>
      <c r="H29" s="202">
        <v>28</v>
      </c>
      <c r="I29" s="199" t="s">
        <v>100</v>
      </c>
      <c r="J29" s="200" t="s">
        <v>497</v>
      </c>
      <c r="K29" s="200">
        <v>19</v>
      </c>
      <c r="L29" s="201" t="s">
        <v>89</v>
      </c>
      <c r="M29" s="449" t="s">
        <v>498</v>
      </c>
      <c r="N29" s="199" t="s">
        <v>329</v>
      </c>
      <c r="O29" s="199" t="s">
        <v>330</v>
      </c>
      <c r="P29" s="430">
        <f t="shared" si="0"/>
        <v>26</v>
      </c>
      <c r="Q29" s="430">
        <f t="shared" si="1"/>
        <v>31</v>
      </c>
      <c r="R29" s="430">
        <f t="shared" si="2"/>
        <v>57</v>
      </c>
    </row>
    <row r="30" spans="1:18" x14ac:dyDescent="0.25">
      <c r="A30" s="204" t="s">
        <v>88</v>
      </c>
      <c r="B30" s="205" t="s">
        <v>492</v>
      </c>
      <c r="C30" s="197">
        <v>6</v>
      </c>
      <c r="D30" s="198">
        <v>5.05</v>
      </c>
      <c r="E30" s="199" t="s">
        <v>70</v>
      </c>
      <c r="F30" s="200">
        <v>28</v>
      </c>
      <c r="G30" s="201" t="s">
        <v>89</v>
      </c>
      <c r="H30" s="202">
        <v>56</v>
      </c>
      <c r="I30" s="199" t="s">
        <v>0</v>
      </c>
      <c r="J30" s="200" t="s">
        <v>341</v>
      </c>
      <c r="K30" s="200">
        <v>14</v>
      </c>
      <c r="L30" s="201" t="s">
        <v>89</v>
      </c>
      <c r="M30" s="449" t="s">
        <v>398</v>
      </c>
      <c r="N30" s="199" t="s">
        <v>355</v>
      </c>
      <c r="O30" s="199"/>
      <c r="P30" s="430">
        <f t="shared" si="0"/>
        <v>35</v>
      </c>
      <c r="Q30" s="430">
        <f t="shared" si="1"/>
        <v>49</v>
      </c>
      <c r="R30" s="430">
        <f t="shared" si="2"/>
        <v>84</v>
      </c>
    </row>
    <row r="31" spans="1:18" x14ac:dyDescent="0.25">
      <c r="A31" s="204" t="s">
        <v>126</v>
      </c>
      <c r="B31" s="205" t="s">
        <v>492</v>
      </c>
      <c r="C31" s="197">
        <v>7</v>
      </c>
      <c r="D31" s="198">
        <v>3</v>
      </c>
      <c r="E31" s="199" t="s">
        <v>1</v>
      </c>
      <c r="F31" s="202">
        <v>33</v>
      </c>
      <c r="G31" s="201" t="s">
        <v>89</v>
      </c>
      <c r="H31" s="205">
        <v>15</v>
      </c>
      <c r="I31" s="199" t="s">
        <v>540</v>
      </c>
      <c r="J31" s="200" t="s">
        <v>317</v>
      </c>
      <c r="K31" s="200">
        <v>12</v>
      </c>
      <c r="L31" s="201" t="s">
        <v>89</v>
      </c>
      <c r="M31" s="449" t="s">
        <v>318</v>
      </c>
      <c r="N31" s="199" t="s">
        <v>365</v>
      </c>
      <c r="O31" s="199"/>
      <c r="P31" s="430">
        <f t="shared" si="0"/>
        <v>17</v>
      </c>
      <c r="Q31" s="430">
        <f t="shared" si="1"/>
        <v>31</v>
      </c>
      <c r="R31" s="430">
        <f t="shared" si="2"/>
        <v>48</v>
      </c>
    </row>
    <row r="32" spans="1:18" x14ac:dyDescent="0.25">
      <c r="A32" s="186" t="s">
        <v>78</v>
      </c>
      <c r="B32" s="187">
        <v>7</v>
      </c>
      <c r="C32" s="182"/>
      <c r="D32" s="188"/>
      <c r="E32" s="189"/>
      <c r="F32" s="181"/>
      <c r="G32" s="190"/>
      <c r="H32" s="191"/>
      <c r="I32" s="189"/>
      <c r="J32" s="181"/>
      <c r="K32" s="181"/>
      <c r="L32" s="181"/>
      <c r="M32" s="448"/>
      <c r="N32" s="189"/>
      <c r="O32" s="189"/>
      <c r="P32" s="430" t="s">
        <v>43</v>
      </c>
      <c r="Q32" s="430"/>
      <c r="R32" s="430"/>
    </row>
    <row r="33" spans="1:18" x14ac:dyDescent="0.25">
      <c r="A33" s="209" t="s">
        <v>88</v>
      </c>
      <c r="B33" s="207" t="s">
        <v>492</v>
      </c>
      <c r="C33" s="182">
        <v>13</v>
      </c>
      <c r="D33" s="188">
        <v>1</v>
      </c>
      <c r="E33" s="189" t="s">
        <v>100</v>
      </c>
      <c r="F33" s="181">
        <v>57</v>
      </c>
      <c r="G33" s="190" t="s">
        <v>89</v>
      </c>
      <c r="H33" s="191">
        <v>10</v>
      </c>
      <c r="I33" s="189" t="s">
        <v>70</v>
      </c>
      <c r="J33" s="181" t="s">
        <v>317</v>
      </c>
      <c r="K33" s="181">
        <v>31</v>
      </c>
      <c r="L33" s="190" t="s">
        <v>89</v>
      </c>
      <c r="M33" s="448" t="s">
        <v>318</v>
      </c>
      <c r="N33" s="189" t="s">
        <v>310</v>
      </c>
      <c r="O33" s="189"/>
      <c r="P33" s="430">
        <f t="shared" si="0"/>
        <v>36</v>
      </c>
      <c r="Q33" s="430">
        <f t="shared" si="1"/>
        <v>31</v>
      </c>
      <c r="R33" s="430">
        <f t="shared" si="2"/>
        <v>67</v>
      </c>
    </row>
    <row r="34" spans="1:18" x14ac:dyDescent="0.25">
      <c r="A34" s="209" t="s">
        <v>88</v>
      </c>
      <c r="B34" s="207" t="s">
        <v>492</v>
      </c>
      <c r="C34" s="182">
        <v>13</v>
      </c>
      <c r="D34" s="188">
        <v>3.05</v>
      </c>
      <c r="E34" s="189" t="s">
        <v>4</v>
      </c>
      <c r="F34" s="181">
        <v>14</v>
      </c>
      <c r="G34" s="190" t="s">
        <v>89</v>
      </c>
      <c r="H34" s="191">
        <v>24</v>
      </c>
      <c r="I34" s="189" t="s">
        <v>1</v>
      </c>
      <c r="J34" s="181" t="s">
        <v>307</v>
      </c>
      <c r="K34" s="181">
        <v>14</v>
      </c>
      <c r="L34" s="190" t="s">
        <v>89</v>
      </c>
      <c r="M34" s="448" t="s">
        <v>477</v>
      </c>
      <c r="N34" s="189" t="s">
        <v>343</v>
      </c>
      <c r="O34" s="189" t="s">
        <v>330</v>
      </c>
      <c r="P34" s="430">
        <f t="shared" si="0"/>
        <v>24</v>
      </c>
      <c r="Q34" s="430">
        <f t="shared" si="1"/>
        <v>14</v>
      </c>
      <c r="R34" s="430">
        <f t="shared" si="2"/>
        <v>38</v>
      </c>
    </row>
    <row r="35" spans="1:18" x14ac:dyDescent="0.25">
      <c r="A35" s="209" t="s">
        <v>88</v>
      </c>
      <c r="B35" s="207" t="s">
        <v>492</v>
      </c>
      <c r="C35" s="182">
        <v>13</v>
      </c>
      <c r="D35" s="188">
        <v>5.3</v>
      </c>
      <c r="E35" s="189" t="s">
        <v>0</v>
      </c>
      <c r="F35" s="181">
        <v>22</v>
      </c>
      <c r="G35" s="190" t="s">
        <v>89</v>
      </c>
      <c r="H35" s="191">
        <v>17</v>
      </c>
      <c r="I35" s="189" t="s">
        <v>3</v>
      </c>
      <c r="J35" s="181" t="s">
        <v>300</v>
      </c>
      <c r="K35" s="181">
        <v>10</v>
      </c>
      <c r="L35" s="190" t="s">
        <v>89</v>
      </c>
      <c r="M35" s="448" t="s">
        <v>477</v>
      </c>
      <c r="N35" s="189" t="s">
        <v>302</v>
      </c>
      <c r="O35" s="189"/>
      <c r="P35" s="430">
        <f t="shared" si="0"/>
        <v>20</v>
      </c>
      <c r="Q35" s="430">
        <f t="shared" si="1"/>
        <v>19</v>
      </c>
      <c r="R35" s="430">
        <f t="shared" si="2"/>
        <v>39</v>
      </c>
    </row>
    <row r="36" spans="1:18" x14ac:dyDescent="0.25">
      <c r="A36" s="209" t="s">
        <v>126</v>
      </c>
      <c r="B36" s="207" t="s">
        <v>492</v>
      </c>
      <c r="C36" s="182">
        <v>14</v>
      </c>
      <c r="D36" s="188">
        <v>3</v>
      </c>
      <c r="E36" s="189" t="s">
        <v>49</v>
      </c>
      <c r="F36" s="181">
        <v>19</v>
      </c>
      <c r="G36" s="190" t="s">
        <v>89</v>
      </c>
      <c r="H36" s="191">
        <v>31</v>
      </c>
      <c r="I36" s="189" t="s">
        <v>540</v>
      </c>
      <c r="J36" s="181" t="s">
        <v>307</v>
      </c>
      <c r="K36" s="181">
        <v>19</v>
      </c>
      <c r="L36" s="190" t="s">
        <v>89</v>
      </c>
      <c r="M36" s="448" t="s">
        <v>394</v>
      </c>
      <c r="N36" s="189" t="s">
        <v>399</v>
      </c>
      <c r="O36" s="189"/>
      <c r="P36" s="430">
        <f t="shared" si="0"/>
        <v>33</v>
      </c>
      <c r="Q36" s="430">
        <f t="shared" si="1"/>
        <v>17</v>
      </c>
      <c r="R36" s="430">
        <f t="shared" si="2"/>
        <v>50</v>
      </c>
    </row>
    <row r="37" spans="1:18" x14ac:dyDescent="0.25">
      <c r="A37" s="195" t="s">
        <v>78</v>
      </c>
      <c r="B37" s="196">
        <v>8</v>
      </c>
      <c r="C37" s="197"/>
      <c r="D37" s="198"/>
      <c r="E37" s="199"/>
      <c r="F37" s="200"/>
      <c r="G37" s="201"/>
      <c r="H37" s="202"/>
      <c r="I37" s="199"/>
      <c r="J37" s="200"/>
      <c r="K37" s="200"/>
      <c r="L37" s="200"/>
      <c r="M37" s="449"/>
      <c r="N37" s="199"/>
      <c r="O37" s="199"/>
      <c r="P37" s="430"/>
      <c r="Q37" s="430"/>
      <c r="R37" s="430"/>
    </row>
    <row r="38" spans="1:18" x14ac:dyDescent="0.25">
      <c r="A38" s="204" t="s">
        <v>88</v>
      </c>
      <c r="B38" s="205" t="s">
        <v>492</v>
      </c>
      <c r="C38" s="197">
        <v>20</v>
      </c>
      <c r="D38" s="198">
        <v>3.05</v>
      </c>
      <c r="E38" s="199" t="s">
        <v>0</v>
      </c>
      <c r="F38" s="200">
        <v>38</v>
      </c>
      <c r="G38" s="201" t="s">
        <v>89</v>
      </c>
      <c r="H38" s="202">
        <v>12</v>
      </c>
      <c r="I38" s="199" t="s">
        <v>49</v>
      </c>
      <c r="J38" s="200" t="s">
        <v>317</v>
      </c>
      <c r="K38" s="200">
        <v>26</v>
      </c>
      <c r="L38" s="201" t="s">
        <v>89</v>
      </c>
      <c r="M38" s="449" t="s">
        <v>318</v>
      </c>
      <c r="N38" s="365" t="s">
        <v>546</v>
      </c>
      <c r="O38" s="199" t="s">
        <v>330</v>
      </c>
      <c r="P38" s="430">
        <f t="shared" si="0"/>
        <v>31</v>
      </c>
      <c r="Q38" s="430">
        <f t="shared" si="1"/>
        <v>19</v>
      </c>
      <c r="R38" s="430">
        <f t="shared" si="2"/>
        <v>50</v>
      </c>
    </row>
    <row r="39" spans="1:18" x14ac:dyDescent="0.25">
      <c r="A39" s="204" t="s">
        <v>126</v>
      </c>
      <c r="B39" s="205" t="s">
        <v>492</v>
      </c>
      <c r="C39" s="197">
        <v>21</v>
      </c>
      <c r="D39" s="198">
        <v>1</v>
      </c>
      <c r="E39" s="199" t="s">
        <v>3</v>
      </c>
      <c r="F39" s="200">
        <v>17</v>
      </c>
      <c r="G39" s="201" t="s">
        <v>89</v>
      </c>
      <c r="H39" s="202">
        <v>36</v>
      </c>
      <c r="I39" s="199" t="s">
        <v>1</v>
      </c>
      <c r="J39" s="200" t="s">
        <v>307</v>
      </c>
      <c r="K39" s="200">
        <v>5</v>
      </c>
      <c r="L39" s="201" t="s">
        <v>89</v>
      </c>
      <c r="M39" s="449" t="s">
        <v>398</v>
      </c>
      <c r="N39" s="199" t="s">
        <v>319</v>
      </c>
      <c r="O39" s="199"/>
      <c r="P39" s="430">
        <f t="shared" si="0"/>
        <v>26</v>
      </c>
      <c r="Q39" s="430">
        <f t="shared" si="1"/>
        <v>27</v>
      </c>
      <c r="R39" s="430">
        <f t="shared" si="2"/>
        <v>53</v>
      </c>
    </row>
    <row r="40" spans="1:18" x14ac:dyDescent="0.25">
      <c r="A40" s="204" t="s">
        <v>126</v>
      </c>
      <c r="B40" s="205" t="s">
        <v>492</v>
      </c>
      <c r="C40" s="197">
        <v>21</v>
      </c>
      <c r="D40" s="198">
        <v>2</v>
      </c>
      <c r="E40" s="199" t="s">
        <v>540</v>
      </c>
      <c r="F40" s="200">
        <v>29</v>
      </c>
      <c r="G40" s="201" t="s">
        <v>89</v>
      </c>
      <c r="H40" s="202">
        <v>29</v>
      </c>
      <c r="I40" s="199" t="s">
        <v>100</v>
      </c>
      <c r="J40" s="200" t="s">
        <v>411</v>
      </c>
      <c r="K40" s="200">
        <v>12</v>
      </c>
      <c r="L40" s="201" t="s">
        <v>89</v>
      </c>
      <c r="M40" s="449" t="s">
        <v>461</v>
      </c>
      <c r="N40" s="199" t="s">
        <v>362</v>
      </c>
      <c r="O40" s="199"/>
      <c r="P40" s="430">
        <f t="shared" si="0"/>
        <v>24</v>
      </c>
      <c r="Q40" s="430">
        <f t="shared" si="1"/>
        <v>34</v>
      </c>
      <c r="R40" s="430">
        <f t="shared" si="2"/>
        <v>58</v>
      </c>
    </row>
    <row r="41" spans="1:18" x14ac:dyDescent="0.25">
      <c r="A41" s="204" t="s">
        <v>126</v>
      </c>
      <c r="B41" s="205" t="s">
        <v>492</v>
      </c>
      <c r="C41" s="197">
        <v>21</v>
      </c>
      <c r="D41" s="198">
        <v>3</v>
      </c>
      <c r="E41" s="199" t="s">
        <v>70</v>
      </c>
      <c r="F41" s="200">
        <v>12</v>
      </c>
      <c r="G41" s="201" t="s">
        <v>89</v>
      </c>
      <c r="H41" s="202">
        <v>75</v>
      </c>
      <c r="I41" s="199" t="s">
        <v>63</v>
      </c>
      <c r="J41" s="200" t="s">
        <v>307</v>
      </c>
      <c r="K41" s="200">
        <v>7</v>
      </c>
      <c r="L41" s="201" t="s">
        <v>89</v>
      </c>
      <c r="M41" s="449" t="s">
        <v>484</v>
      </c>
      <c r="N41" s="199" t="s">
        <v>355</v>
      </c>
      <c r="O41" s="199"/>
      <c r="P41" s="430">
        <f t="shared" si="0"/>
        <v>42</v>
      </c>
      <c r="Q41" s="430">
        <f t="shared" si="1"/>
        <v>45</v>
      </c>
      <c r="R41" s="430">
        <f t="shared" si="2"/>
        <v>87</v>
      </c>
    </row>
    <row r="42" spans="1:18" x14ac:dyDescent="0.25">
      <c r="A42" s="186" t="s">
        <v>78</v>
      </c>
      <c r="B42" s="187">
        <v>9</v>
      </c>
      <c r="C42" s="182"/>
      <c r="D42" s="188"/>
      <c r="E42" s="189"/>
      <c r="F42" s="181"/>
      <c r="G42" s="190"/>
      <c r="H42" s="191"/>
      <c r="I42" s="189"/>
      <c r="J42" s="181"/>
      <c r="K42" s="181"/>
      <c r="L42" s="181"/>
      <c r="M42" s="448"/>
      <c r="N42" s="189"/>
      <c r="O42" s="189"/>
      <c r="P42" s="430"/>
      <c r="Q42" s="430"/>
      <c r="R42" s="430"/>
    </row>
    <row r="43" spans="1:18" x14ac:dyDescent="0.25">
      <c r="A43" s="209" t="s">
        <v>187</v>
      </c>
      <c r="B43" s="207" t="s">
        <v>568</v>
      </c>
      <c r="C43" s="182">
        <v>30</v>
      </c>
      <c r="D43" s="188">
        <v>7.3</v>
      </c>
      <c r="E43" s="189" t="s">
        <v>100</v>
      </c>
      <c r="F43" s="181">
        <v>26</v>
      </c>
      <c r="G43" s="190" t="s">
        <v>89</v>
      </c>
      <c r="H43" s="191">
        <v>27</v>
      </c>
      <c r="I43" s="189" t="s">
        <v>0</v>
      </c>
      <c r="J43" s="181" t="s">
        <v>393</v>
      </c>
      <c r="K43" s="181">
        <v>12</v>
      </c>
      <c r="L43" s="190" t="s">
        <v>89</v>
      </c>
      <c r="M43" s="448" t="s">
        <v>477</v>
      </c>
      <c r="N43" s="189" t="s">
        <v>310</v>
      </c>
      <c r="O43" s="189"/>
      <c r="P43" s="430">
        <f t="shared" ref="P43" si="6">SUM(K43+M43)</f>
        <v>22</v>
      </c>
      <c r="Q43" s="430">
        <f t="shared" ref="Q43" si="7">SUM(R43-P43)</f>
        <v>31</v>
      </c>
      <c r="R43" s="430">
        <f t="shared" ref="R43" si="8">SUM(F43+H43)</f>
        <v>53</v>
      </c>
    </row>
    <row r="44" spans="1:18" x14ac:dyDescent="0.25">
      <c r="A44" s="209" t="s">
        <v>126</v>
      </c>
      <c r="B44" s="207" t="s">
        <v>569</v>
      </c>
      <c r="C44" s="182">
        <v>1</v>
      </c>
      <c r="D44" s="188">
        <v>1</v>
      </c>
      <c r="E44" s="189" t="s">
        <v>49</v>
      </c>
      <c r="F44" s="181">
        <v>30</v>
      </c>
      <c r="G44" s="190" t="s">
        <v>89</v>
      </c>
      <c r="H44" s="191">
        <v>29</v>
      </c>
      <c r="I44" s="189" t="s">
        <v>3</v>
      </c>
      <c r="J44" s="181" t="s">
        <v>497</v>
      </c>
      <c r="K44" s="181">
        <v>10</v>
      </c>
      <c r="L44" s="190" t="s">
        <v>89</v>
      </c>
      <c r="M44" s="448" t="s">
        <v>570</v>
      </c>
      <c r="N44" s="189" t="s">
        <v>399</v>
      </c>
      <c r="O44" s="189"/>
      <c r="P44" s="430">
        <f t="shared" ref="P44:P46" si="9">SUM(K44+M44)</f>
        <v>32</v>
      </c>
      <c r="Q44" s="430">
        <f t="shared" ref="Q44:Q46" si="10">SUM(R44-P44)</f>
        <v>27</v>
      </c>
      <c r="R44" s="430">
        <f t="shared" ref="R44:R46" si="11">SUM(F44+H44)</f>
        <v>59</v>
      </c>
    </row>
    <row r="45" spans="1:18" x14ac:dyDescent="0.25">
      <c r="A45" s="209" t="s">
        <v>126</v>
      </c>
      <c r="B45" s="207" t="s">
        <v>569</v>
      </c>
      <c r="C45" s="182">
        <v>1</v>
      </c>
      <c r="D45" s="188">
        <v>1</v>
      </c>
      <c r="E45" s="189" t="s">
        <v>4</v>
      </c>
      <c r="F45" s="191">
        <v>36</v>
      </c>
      <c r="G45" s="190" t="s">
        <v>89</v>
      </c>
      <c r="H45" s="191">
        <v>0</v>
      </c>
      <c r="I45" s="189" t="s">
        <v>70</v>
      </c>
      <c r="J45" s="181" t="s">
        <v>317</v>
      </c>
      <c r="K45" s="191">
        <v>19</v>
      </c>
      <c r="L45" s="190" t="s">
        <v>89</v>
      </c>
      <c r="M45" s="448" t="s">
        <v>309</v>
      </c>
      <c r="N45" s="189" t="s">
        <v>343</v>
      </c>
      <c r="O45" s="189"/>
      <c r="P45" s="451">
        <f t="shared" ref="P45" si="12">SUM(K45+M45)</f>
        <v>19</v>
      </c>
      <c r="Q45" s="451">
        <f t="shared" ref="Q45" si="13">SUM(R45-P45)</f>
        <v>17</v>
      </c>
      <c r="R45" s="451">
        <f t="shared" ref="R45" si="14">SUM(F45+H45)</f>
        <v>36</v>
      </c>
    </row>
    <row r="46" spans="1:18" x14ac:dyDescent="0.25">
      <c r="A46" s="209" t="s">
        <v>126</v>
      </c>
      <c r="B46" s="207" t="s">
        <v>569</v>
      </c>
      <c r="C46" s="182">
        <v>1</v>
      </c>
      <c r="D46" s="188">
        <v>3</v>
      </c>
      <c r="E46" s="189" t="s">
        <v>63</v>
      </c>
      <c r="F46" s="181">
        <v>45</v>
      </c>
      <c r="G46" s="190" t="s">
        <v>89</v>
      </c>
      <c r="H46" s="191">
        <v>26</v>
      </c>
      <c r="I46" s="189" t="s">
        <v>540</v>
      </c>
      <c r="J46" s="181" t="s">
        <v>300</v>
      </c>
      <c r="K46" s="181">
        <v>19</v>
      </c>
      <c r="L46" s="190" t="s">
        <v>89</v>
      </c>
      <c r="M46" s="448" t="s">
        <v>498</v>
      </c>
      <c r="N46" s="189" t="s">
        <v>329</v>
      </c>
      <c r="O46" s="189" t="s">
        <v>330</v>
      </c>
      <c r="P46" s="430">
        <f t="shared" si="9"/>
        <v>26</v>
      </c>
      <c r="Q46" s="430">
        <f t="shared" si="10"/>
        <v>45</v>
      </c>
      <c r="R46" s="430">
        <f t="shared" si="11"/>
        <v>71</v>
      </c>
    </row>
    <row r="47" spans="1:18" x14ac:dyDescent="0.25">
      <c r="A47" s="210" t="s">
        <v>78</v>
      </c>
      <c r="B47" s="196">
        <v>10</v>
      </c>
      <c r="C47" s="199"/>
      <c r="D47" s="215"/>
      <c r="E47" s="199"/>
      <c r="F47" s="200"/>
      <c r="G47" s="201"/>
      <c r="H47" s="202"/>
      <c r="I47" s="199"/>
      <c r="J47" s="200"/>
      <c r="K47" s="200"/>
      <c r="L47" s="200"/>
      <c r="M47" s="449"/>
      <c r="N47" s="199"/>
      <c r="O47" s="199"/>
      <c r="P47" s="430"/>
      <c r="Q47" s="430"/>
      <c r="R47" s="430"/>
    </row>
    <row r="48" spans="1:18" x14ac:dyDescent="0.25">
      <c r="A48" s="204" t="s">
        <v>88</v>
      </c>
      <c r="B48" s="205" t="s">
        <v>569</v>
      </c>
      <c r="C48" s="199">
        <v>7</v>
      </c>
      <c r="D48" s="198">
        <v>12</v>
      </c>
      <c r="E48" s="199" t="s">
        <v>49</v>
      </c>
      <c r="F48" s="200">
        <v>26</v>
      </c>
      <c r="G48" s="201" t="s">
        <v>89</v>
      </c>
      <c r="H48" s="202">
        <v>26</v>
      </c>
      <c r="I48" s="199" t="s">
        <v>100</v>
      </c>
      <c r="J48" s="200" t="s">
        <v>411</v>
      </c>
      <c r="K48" s="200">
        <v>21</v>
      </c>
      <c r="L48" s="201" t="s">
        <v>89</v>
      </c>
      <c r="M48" s="449" t="s">
        <v>498</v>
      </c>
      <c r="N48" s="199" t="s">
        <v>399</v>
      </c>
      <c r="O48" s="199"/>
      <c r="P48" s="430">
        <f t="shared" ref="P48:P51" si="15">SUM(K48+M48)</f>
        <v>28</v>
      </c>
      <c r="Q48" s="430">
        <f t="shared" ref="Q48:Q51" si="16">SUM(R48-P48)</f>
        <v>24</v>
      </c>
      <c r="R48" s="430">
        <f t="shared" ref="R48:R51" si="17">SUM(F48+H48)</f>
        <v>52</v>
      </c>
    </row>
    <row r="49" spans="1:18" x14ac:dyDescent="0.25">
      <c r="A49" s="204" t="s">
        <v>88</v>
      </c>
      <c r="B49" s="205" t="s">
        <v>569</v>
      </c>
      <c r="C49" s="199">
        <v>7</v>
      </c>
      <c r="D49" s="198">
        <v>12.3</v>
      </c>
      <c r="E49" s="199" t="s">
        <v>3</v>
      </c>
      <c r="F49" s="200">
        <v>7</v>
      </c>
      <c r="G49" s="201" t="s">
        <v>89</v>
      </c>
      <c r="H49" s="202">
        <v>22</v>
      </c>
      <c r="I49" s="199" t="s">
        <v>63</v>
      </c>
      <c r="J49" s="200" t="s">
        <v>307</v>
      </c>
      <c r="K49" s="200">
        <v>7</v>
      </c>
      <c r="L49" s="201" t="s">
        <v>89</v>
      </c>
      <c r="M49" s="449" t="s">
        <v>581</v>
      </c>
      <c r="N49" s="199" t="s">
        <v>319</v>
      </c>
      <c r="O49" s="199"/>
      <c r="P49" s="430">
        <f t="shared" si="15"/>
        <v>24</v>
      </c>
      <c r="Q49" s="430">
        <f t="shared" si="16"/>
        <v>5</v>
      </c>
      <c r="R49" s="430">
        <f t="shared" si="17"/>
        <v>29</v>
      </c>
    </row>
    <row r="50" spans="1:18" x14ac:dyDescent="0.25">
      <c r="A50" s="204" t="s">
        <v>126</v>
      </c>
      <c r="B50" s="205" t="s">
        <v>569</v>
      </c>
      <c r="C50" s="199">
        <v>8</v>
      </c>
      <c r="D50" s="198">
        <v>1</v>
      </c>
      <c r="E50" s="199" t="s">
        <v>70</v>
      </c>
      <c r="F50" s="200">
        <v>0</v>
      </c>
      <c r="G50" s="201" t="s">
        <v>89</v>
      </c>
      <c r="H50" s="202">
        <v>81</v>
      </c>
      <c r="I50" s="199" t="s">
        <v>1</v>
      </c>
      <c r="J50" s="200" t="s">
        <v>307</v>
      </c>
      <c r="K50" s="200">
        <v>0</v>
      </c>
      <c r="L50" s="201" t="s">
        <v>89</v>
      </c>
      <c r="M50" s="449" t="s">
        <v>586</v>
      </c>
      <c r="N50" s="199" t="s">
        <v>355</v>
      </c>
      <c r="O50" s="199"/>
      <c r="P50" s="564">
        <f t="shared" si="15"/>
        <v>54</v>
      </c>
      <c r="Q50" s="430">
        <f t="shared" si="16"/>
        <v>27</v>
      </c>
      <c r="R50" s="430">
        <f t="shared" si="17"/>
        <v>81</v>
      </c>
    </row>
    <row r="51" spans="1:18" x14ac:dyDescent="0.25">
      <c r="A51" s="204" t="s">
        <v>126</v>
      </c>
      <c r="B51" s="205" t="s">
        <v>569</v>
      </c>
      <c r="C51" s="199">
        <v>8</v>
      </c>
      <c r="D51" s="198">
        <v>3</v>
      </c>
      <c r="E51" s="199" t="s">
        <v>0</v>
      </c>
      <c r="F51" s="200">
        <v>38</v>
      </c>
      <c r="G51" s="201" t="s">
        <v>89</v>
      </c>
      <c r="H51" s="202">
        <v>38</v>
      </c>
      <c r="I51" s="199" t="s">
        <v>4</v>
      </c>
      <c r="J51" s="200" t="s">
        <v>411</v>
      </c>
      <c r="K51" s="200">
        <v>21</v>
      </c>
      <c r="L51" s="201" t="s">
        <v>89</v>
      </c>
      <c r="M51" s="449" t="s">
        <v>301</v>
      </c>
      <c r="N51" s="199" t="s">
        <v>302</v>
      </c>
      <c r="O51" s="199" t="s">
        <v>330</v>
      </c>
      <c r="P51" s="430">
        <f t="shared" si="15"/>
        <v>49</v>
      </c>
      <c r="Q51" s="430">
        <f t="shared" si="16"/>
        <v>27</v>
      </c>
      <c r="R51" s="430">
        <f t="shared" si="17"/>
        <v>76</v>
      </c>
    </row>
    <row r="52" spans="1:18" x14ac:dyDescent="0.25">
      <c r="A52" s="186" t="s">
        <v>78</v>
      </c>
      <c r="B52" s="187">
        <v>11</v>
      </c>
      <c r="C52" s="182"/>
      <c r="D52" s="212"/>
      <c r="E52" s="189"/>
      <c r="F52" s="181"/>
      <c r="G52" s="181"/>
      <c r="H52" s="191"/>
      <c r="I52" s="189"/>
      <c r="J52" s="181"/>
      <c r="K52" s="181"/>
      <c r="L52" s="181"/>
      <c r="M52" s="448"/>
      <c r="N52" s="189"/>
      <c r="O52" s="189"/>
      <c r="P52" s="430"/>
      <c r="Q52" s="430"/>
      <c r="R52" s="430"/>
    </row>
    <row r="53" spans="1:18" x14ac:dyDescent="0.25">
      <c r="A53" s="209" t="s">
        <v>88</v>
      </c>
      <c r="B53" s="207" t="s">
        <v>569</v>
      </c>
      <c r="C53" s="182">
        <v>14</v>
      </c>
      <c r="D53" s="188">
        <v>12</v>
      </c>
      <c r="E53" s="189" t="s">
        <v>63</v>
      </c>
      <c r="F53" s="181">
        <v>45</v>
      </c>
      <c r="G53" s="190" t="s">
        <v>89</v>
      </c>
      <c r="H53" s="191">
        <v>22</v>
      </c>
      <c r="I53" s="189" t="s">
        <v>0</v>
      </c>
      <c r="J53" s="181" t="s">
        <v>300</v>
      </c>
      <c r="K53" s="181">
        <v>19</v>
      </c>
      <c r="L53" s="190" t="s">
        <v>89</v>
      </c>
      <c r="M53" s="448" t="s">
        <v>477</v>
      </c>
      <c r="N53" s="189" t="s">
        <v>329</v>
      </c>
      <c r="O53" s="189" t="s">
        <v>330</v>
      </c>
      <c r="P53" s="430">
        <f t="shared" ref="P53:P56" si="18">SUM(K53+M53)</f>
        <v>29</v>
      </c>
      <c r="Q53" s="430">
        <f t="shared" ref="Q53:Q56" si="19">SUM(R53-P53)</f>
        <v>38</v>
      </c>
      <c r="R53" s="430">
        <f t="shared" ref="R53:R56" si="20">SUM(F53+H53)</f>
        <v>67</v>
      </c>
    </row>
    <row r="54" spans="1:18" x14ac:dyDescent="0.25">
      <c r="A54" s="209" t="s">
        <v>88</v>
      </c>
      <c r="B54" s="207" t="s">
        <v>569</v>
      </c>
      <c r="C54" s="182">
        <v>14</v>
      </c>
      <c r="D54" s="188">
        <v>3</v>
      </c>
      <c r="E54" s="189" t="s">
        <v>100</v>
      </c>
      <c r="F54" s="181">
        <v>31</v>
      </c>
      <c r="G54" s="190" t="s">
        <v>89</v>
      </c>
      <c r="H54" s="191">
        <v>36</v>
      </c>
      <c r="I54" s="189" t="s">
        <v>3</v>
      </c>
      <c r="J54" s="181" t="s">
        <v>393</v>
      </c>
      <c r="K54" s="181">
        <v>19</v>
      </c>
      <c r="L54" s="190" t="s">
        <v>89</v>
      </c>
      <c r="M54" s="448" t="s">
        <v>394</v>
      </c>
      <c r="N54" s="189" t="s">
        <v>310</v>
      </c>
      <c r="O54" s="189"/>
      <c r="P54" s="430">
        <f t="shared" si="18"/>
        <v>33</v>
      </c>
      <c r="Q54" s="430">
        <f t="shared" si="19"/>
        <v>34</v>
      </c>
      <c r="R54" s="430">
        <f t="shared" si="20"/>
        <v>67</v>
      </c>
    </row>
    <row r="55" spans="1:18" x14ac:dyDescent="0.25">
      <c r="A55" s="213" t="s">
        <v>126</v>
      </c>
      <c r="B55" s="207" t="s">
        <v>569</v>
      </c>
      <c r="C55" s="182">
        <v>15</v>
      </c>
      <c r="D55" s="188">
        <v>1</v>
      </c>
      <c r="E55" s="189" t="s">
        <v>4</v>
      </c>
      <c r="F55" s="181">
        <v>26</v>
      </c>
      <c r="G55" s="190" t="s">
        <v>89</v>
      </c>
      <c r="H55" s="191">
        <v>5</v>
      </c>
      <c r="I55" s="189" t="s">
        <v>540</v>
      </c>
      <c r="J55" s="181" t="s">
        <v>317</v>
      </c>
      <c r="K55" s="181">
        <v>19</v>
      </c>
      <c r="L55" s="190" t="s">
        <v>89</v>
      </c>
      <c r="M55" s="448" t="s">
        <v>318</v>
      </c>
      <c r="N55" s="189" t="s">
        <v>343</v>
      </c>
      <c r="O55" s="189"/>
      <c r="P55" s="430">
        <f t="shared" si="18"/>
        <v>24</v>
      </c>
      <c r="Q55" s="672">
        <f t="shared" si="19"/>
        <v>7</v>
      </c>
      <c r="R55" s="430">
        <f t="shared" si="20"/>
        <v>31</v>
      </c>
    </row>
    <row r="56" spans="1:18" x14ac:dyDescent="0.25">
      <c r="A56" s="209" t="s">
        <v>126</v>
      </c>
      <c r="B56" s="207" t="s">
        <v>569</v>
      </c>
      <c r="C56" s="182">
        <v>15</v>
      </c>
      <c r="D56" s="188">
        <v>1.3</v>
      </c>
      <c r="E56" s="189" t="s">
        <v>1</v>
      </c>
      <c r="F56" s="181">
        <v>36</v>
      </c>
      <c r="G56" s="190" t="s">
        <v>89</v>
      </c>
      <c r="H56" s="191">
        <v>33</v>
      </c>
      <c r="I56" s="189" t="s">
        <v>49</v>
      </c>
      <c r="J56" s="181" t="s">
        <v>497</v>
      </c>
      <c r="K56" s="181">
        <v>12</v>
      </c>
      <c r="L56" s="181" t="s">
        <v>89</v>
      </c>
      <c r="M56" s="448" t="s">
        <v>606</v>
      </c>
      <c r="N56" s="189" t="s">
        <v>365</v>
      </c>
      <c r="O56" s="189"/>
      <c r="P56" s="430">
        <f t="shared" si="18"/>
        <v>38</v>
      </c>
      <c r="Q56" s="430">
        <f t="shared" si="19"/>
        <v>31</v>
      </c>
      <c r="R56" s="430">
        <f t="shared" si="20"/>
        <v>69</v>
      </c>
    </row>
    <row r="57" spans="1:18" x14ac:dyDescent="0.25">
      <c r="A57" s="195" t="s">
        <v>78</v>
      </c>
      <c r="B57" s="196">
        <v>12</v>
      </c>
      <c r="C57" s="197"/>
      <c r="D57" s="211"/>
      <c r="E57" s="199"/>
      <c r="F57" s="200"/>
      <c r="G57" s="201"/>
      <c r="H57" s="202"/>
      <c r="I57" s="199"/>
      <c r="J57" s="200"/>
      <c r="K57" s="200"/>
      <c r="L57" s="200"/>
      <c r="M57" s="203"/>
      <c r="N57" s="199"/>
      <c r="O57" s="199"/>
      <c r="P57" s="430"/>
      <c r="Q57" s="430"/>
      <c r="R57" s="430"/>
    </row>
    <row r="58" spans="1:18" x14ac:dyDescent="0.25">
      <c r="A58" s="204" t="s">
        <v>88</v>
      </c>
      <c r="B58" s="205" t="s">
        <v>569</v>
      </c>
      <c r="C58" s="197">
        <v>21</v>
      </c>
      <c r="D58" s="198">
        <v>1.1499999999999999</v>
      </c>
      <c r="E58" s="199" t="s">
        <v>70</v>
      </c>
      <c r="F58" s="200">
        <v>19</v>
      </c>
      <c r="G58" s="201" t="s">
        <v>89</v>
      </c>
      <c r="H58" s="202">
        <v>40</v>
      </c>
      <c r="I58" s="199" t="s">
        <v>100</v>
      </c>
      <c r="J58" s="200" t="s">
        <v>307</v>
      </c>
      <c r="K58" s="200">
        <v>12</v>
      </c>
      <c r="L58" s="201" t="s">
        <v>89</v>
      </c>
      <c r="M58" s="203" t="s">
        <v>398</v>
      </c>
      <c r="N58" s="199" t="s">
        <v>355</v>
      </c>
      <c r="O58" s="199"/>
      <c r="P58" s="430">
        <f t="shared" ref="P58:P61" si="21">SUM(K58+M58)</f>
        <v>33</v>
      </c>
      <c r="Q58" s="430">
        <f t="shared" ref="Q58:Q61" si="22">SUM(R58-P58)</f>
        <v>26</v>
      </c>
      <c r="R58" s="430">
        <f t="shared" ref="R58:R61" si="23">SUM(F58+H58)</f>
        <v>59</v>
      </c>
    </row>
    <row r="59" spans="1:18" x14ac:dyDescent="0.25">
      <c r="A59" s="204" t="s">
        <v>88</v>
      </c>
      <c r="B59" s="205" t="s">
        <v>569</v>
      </c>
      <c r="C59" s="197">
        <v>21</v>
      </c>
      <c r="D59" s="198">
        <v>3</v>
      </c>
      <c r="E59" s="199" t="s">
        <v>3</v>
      </c>
      <c r="F59" s="200">
        <v>15</v>
      </c>
      <c r="G59" s="201" t="s">
        <v>89</v>
      </c>
      <c r="H59" s="202">
        <v>12</v>
      </c>
      <c r="I59" s="199" t="s">
        <v>0</v>
      </c>
      <c r="J59" s="200" t="s">
        <v>614</v>
      </c>
      <c r="K59" s="200">
        <v>15</v>
      </c>
      <c r="L59" s="201" t="s">
        <v>89</v>
      </c>
      <c r="M59" s="449" t="s">
        <v>318</v>
      </c>
      <c r="N59" s="199" t="s">
        <v>319</v>
      </c>
      <c r="O59" s="199"/>
      <c r="P59" s="430">
        <f t="shared" si="21"/>
        <v>20</v>
      </c>
      <c r="Q59" s="672">
        <f t="shared" si="22"/>
        <v>7</v>
      </c>
      <c r="R59" s="672">
        <f t="shared" si="23"/>
        <v>27</v>
      </c>
    </row>
    <row r="60" spans="1:18" x14ac:dyDescent="0.25">
      <c r="A60" s="204" t="s">
        <v>88</v>
      </c>
      <c r="B60" s="205" t="s">
        <v>569</v>
      </c>
      <c r="C60" s="197">
        <v>21</v>
      </c>
      <c r="D60" s="198">
        <v>7.3</v>
      </c>
      <c r="E60" s="199" t="s">
        <v>1</v>
      </c>
      <c r="F60" s="200">
        <v>45</v>
      </c>
      <c r="G60" s="201" t="s">
        <v>89</v>
      </c>
      <c r="H60" s="202">
        <v>7</v>
      </c>
      <c r="I60" s="199" t="s">
        <v>4</v>
      </c>
      <c r="J60" s="200" t="s">
        <v>317</v>
      </c>
      <c r="K60" s="200">
        <v>21</v>
      </c>
      <c r="L60" s="201" t="s">
        <v>89</v>
      </c>
      <c r="M60" s="449" t="s">
        <v>309</v>
      </c>
      <c r="N60" s="199" t="s">
        <v>365</v>
      </c>
      <c r="O60" s="199"/>
      <c r="P60" s="430">
        <f t="shared" si="21"/>
        <v>21</v>
      </c>
      <c r="Q60" s="430">
        <f t="shared" si="22"/>
        <v>31</v>
      </c>
      <c r="R60" s="430">
        <f t="shared" si="23"/>
        <v>52</v>
      </c>
    </row>
    <row r="61" spans="1:18" x14ac:dyDescent="0.25">
      <c r="A61" s="204" t="s">
        <v>126</v>
      </c>
      <c r="B61" s="205" t="s">
        <v>569</v>
      </c>
      <c r="C61" s="197">
        <v>22</v>
      </c>
      <c r="D61" s="198">
        <v>3</v>
      </c>
      <c r="E61" s="199" t="s">
        <v>540</v>
      </c>
      <c r="F61" s="200">
        <v>21</v>
      </c>
      <c r="G61" s="201" t="s">
        <v>89</v>
      </c>
      <c r="H61" s="202">
        <v>24</v>
      </c>
      <c r="I61" s="199" t="s">
        <v>49</v>
      </c>
      <c r="J61" s="200" t="s">
        <v>341</v>
      </c>
      <c r="K61" s="200">
        <v>14</v>
      </c>
      <c r="L61" s="201" t="s">
        <v>89</v>
      </c>
      <c r="M61" s="449" t="s">
        <v>318</v>
      </c>
      <c r="N61" s="199" t="s">
        <v>362</v>
      </c>
      <c r="O61" s="199" t="s">
        <v>330</v>
      </c>
      <c r="P61" s="430">
        <f t="shared" si="21"/>
        <v>19</v>
      </c>
      <c r="Q61" s="430">
        <f t="shared" si="22"/>
        <v>26</v>
      </c>
      <c r="R61" s="430">
        <f t="shared" si="23"/>
        <v>45</v>
      </c>
    </row>
    <row r="62" spans="1:18" x14ac:dyDescent="0.25">
      <c r="A62" s="208" t="s">
        <v>78</v>
      </c>
      <c r="B62" s="187">
        <v>13</v>
      </c>
      <c r="C62" s="189"/>
      <c r="D62" s="188"/>
      <c r="E62" s="189"/>
      <c r="F62" s="181"/>
      <c r="G62" s="181"/>
      <c r="H62" s="191"/>
      <c r="I62" s="189"/>
      <c r="J62" s="181"/>
      <c r="K62" s="181"/>
      <c r="L62" s="181"/>
      <c r="M62" s="192"/>
      <c r="N62" s="189"/>
      <c r="O62" s="189"/>
      <c r="P62" s="430"/>
      <c r="Q62" s="430"/>
      <c r="R62" s="430"/>
    </row>
    <row r="63" spans="1:18" x14ac:dyDescent="0.25">
      <c r="A63" s="209" t="s">
        <v>187</v>
      </c>
      <c r="B63" s="207" t="s">
        <v>625</v>
      </c>
      <c r="C63" s="189">
        <v>6</v>
      </c>
      <c r="D63" s="188">
        <v>7.3</v>
      </c>
      <c r="E63" s="189" t="s">
        <v>63</v>
      </c>
      <c r="F63" s="181">
        <v>38</v>
      </c>
      <c r="G63" s="190" t="s">
        <v>89</v>
      </c>
      <c r="H63" s="191">
        <v>20</v>
      </c>
      <c r="I63" s="189" t="s">
        <v>4</v>
      </c>
      <c r="J63" s="181" t="s">
        <v>300</v>
      </c>
      <c r="K63" s="181">
        <v>26</v>
      </c>
      <c r="L63" s="190" t="s">
        <v>89</v>
      </c>
      <c r="M63" s="448" t="s">
        <v>477</v>
      </c>
      <c r="N63" s="189" t="s">
        <v>329</v>
      </c>
      <c r="O63" s="189"/>
      <c r="P63" s="430">
        <f t="shared" ref="P63:P66" si="24">SUM(K63+M63)</f>
        <v>36</v>
      </c>
      <c r="Q63" s="430">
        <f t="shared" ref="Q63:Q66" si="25">SUM(R63-P63)</f>
        <v>22</v>
      </c>
      <c r="R63" s="430">
        <f t="shared" ref="R63:R66" si="26">SUM(F63+H63)</f>
        <v>58</v>
      </c>
    </row>
    <row r="64" spans="1:18" x14ac:dyDescent="0.25">
      <c r="A64" s="209" t="s">
        <v>88</v>
      </c>
      <c r="B64" s="207" t="s">
        <v>625</v>
      </c>
      <c r="C64" s="189">
        <v>7</v>
      </c>
      <c r="D64" s="188">
        <v>12.15</v>
      </c>
      <c r="E64" s="189" t="s">
        <v>0</v>
      </c>
      <c r="F64" s="181">
        <v>26</v>
      </c>
      <c r="G64" s="190" t="s">
        <v>89</v>
      </c>
      <c r="H64" s="191">
        <v>43</v>
      </c>
      <c r="I64" s="189" t="s">
        <v>1</v>
      </c>
      <c r="J64" s="181" t="s">
        <v>341</v>
      </c>
      <c r="K64" s="181">
        <v>12</v>
      </c>
      <c r="L64" s="190" t="s">
        <v>89</v>
      </c>
      <c r="M64" s="448" t="s">
        <v>301</v>
      </c>
      <c r="N64" s="189" t="s">
        <v>302</v>
      </c>
      <c r="O64" s="189" t="s">
        <v>330</v>
      </c>
      <c r="P64" s="430">
        <f t="shared" si="24"/>
        <v>40</v>
      </c>
      <c r="Q64" s="430">
        <f t="shared" si="25"/>
        <v>29</v>
      </c>
      <c r="R64" s="430">
        <f t="shared" si="26"/>
        <v>69</v>
      </c>
    </row>
    <row r="65" spans="1:18" x14ac:dyDescent="0.25">
      <c r="A65" s="209" t="s">
        <v>88</v>
      </c>
      <c r="B65" s="207" t="s">
        <v>625</v>
      </c>
      <c r="C65" s="182">
        <v>7</v>
      </c>
      <c r="D65" s="188">
        <v>2.2999999999999998</v>
      </c>
      <c r="E65" s="189" t="s">
        <v>49</v>
      </c>
      <c r="F65" s="191">
        <v>68</v>
      </c>
      <c r="G65" s="190" t="s">
        <v>89</v>
      </c>
      <c r="H65" s="191">
        <v>0</v>
      </c>
      <c r="I65" s="189" t="s">
        <v>70</v>
      </c>
      <c r="J65" s="181" t="s">
        <v>317</v>
      </c>
      <c r="K65" s="191">
        <v>40</v>
      </c>
      <c r="L65" s="190" t="s">
        <v>89</v>
      </c>
      <c r="M65" s="448" t="s">
        <v>309</v>
      </c>
      <c r="N65" s="189" t="s">
        <v>399</v>
      </c>
      <c r="O65" s="189"/>
      <c r="P65" s="451">
        <f t="shared" ref="P65" si="27">SUM(K65+M65)</f>
        <v>40</v>
      </c>
      <c r="Q65" s="451">
        <f t="shared" ref="Q65" si="28">SUM(R65-P65)</f>
        <v>28</v>
      </c>
      <c r="R65" s="451">
        <f t="shared" ref="R65" si="29">SUM(F65+H65)</f>
        <v>68</v>
      </c>
    </row>
    <row r="66" spans="1:18" x14ac:dyDescent="0.25">
      <c r="A66" s="209" t="s">
        <v>88</v>
      </c>
      <c r="B66" s="207" t="s">
        <v>625</v>
      </c>
      <c r="C66" s="182">
        <v>7</v>
      </c>
      <c r="D66" s="188">
        <v>3</v>
      </c>
      <c r="E66" s="189" t="s">
        <v>3</v>
      </c>
      <c r="F66" s="181">
        <v>31</v>
      </c>
      <c r="G66" s="190" t="s">
        <v>89</v>
      </c>
      <c r="H66" s="191">
        <v>29</v>
      </c>
      <c r="I66" s="189" t="s">
        <v>540</v>
      </c>
      <c r="J66" s="181" t="s">
        <v>497</v>
      </c>
      <c r="K66" s="181">
        <v>5</v>
      </c>
      <c r="L66" s="190" t="s">
        <v>89</v>
      </c>
      <c r="M66" s="448" t="s">
        <v>581</v>
      </c>
      <c r="N66" s="189" t="s">
        <v>319</v>
      </c>
      <c r="O66" s="189"/>
      <c r="P66" s="430">
        <f t="shared" si="24"/>
        <v>22</v>
      </c>
      <c r="Q66" s="430">
        <f t="shared" si="25"/>
        <v>38</v>
      </c>
      <c r="R66" s="430">
        <f t="shared" si="26"/>
        <v>60</v>
      </c>
    </row>
    <row r="67" spans="1:18" x14ac:dyDescent="0.25">
      <c r="A67" s="195" t="s">
        <v>78</v>
      </c>
      <c r="B67" s="196">
        <v>14</v>
      </c>
      <c r="C67" s="197"/>
      <c r="D67" s="198"/>
      <c r="E67" s="199"/>
      <c r="F67" s="200"/>
      <c r="G67" s="200"/>
      <c r="H67" s="202"/>
      <c r="I67" s="199"/>
      <c r="J67" s="200"/>
      <c r="K67" s="200"/>
      <c r="L67" s="200"/>
      <c r="M67" s="449"/>
      <c r="N67" s="199"/>
      <c r="O67" s="199"/>
      <c r="P67" s="430"/>
      <c r="Q67" s="430"/>
      <c r="R67" s="430"/>
    </row>
    <row r="68" spans="1:18" x14ac:dyDescent="0.25">
      <c r="A68" s="204" t="s">
        <v>187</v>
      </c>
      <c r="B68" s="205" t="s">
        <v>625</v>
      </c>
      <c r="C68" s="197">
        <v>13</v>
      </c>
      <c r="D68" s="198">
        <v>7.3</v>
      </c>
      <c r="E68" s="199" t="s">
        <v>540</v>
      </c>
      <c r="F68" s="200">
        <v>43</v>
      </c>
      <c r="G68" s="201" t="s">
        <v>89</v>
      </c>
      <c r="H68" s="202">
        <v>33</v>
      </c>
      <c r="I68" s="199" t="s">
        <v>0</v>
      </c>
      <c r="J68" s="200" t="s">
        <v>300</v>
      </c>
      <c r="K68" s="200">
        <v>24</v>
      </c>
      <c r="L68" s="201" t="s">
        <v>89</v>
      </c>
      <c r="M68" s="449" t="s">
        <v>394</v>
      </c>
      <c r="N68" s="199" t="s">
        <v>362</v>
      </c>
      <c r="O68" s="199"/>
      <c r="P68" s="430">
        <f t="shared" ref="P68:P71" si="30">SUM(K68+M68)</f>
        <v>38</v>
      </c>
      <c r="Q68" s="430">
        <f t="shared" ref="Q68:Q71" si="31">SUM(R68-P68)</f>
        <v>38</v>
      </c>
      <c r="R68" s="430">
        <f t="shared" ref="R68:R71" si="32">SUM(F68+H68)</f>
        <v>76</v>
      </c>
    </row>
    <row r="69" spans="1:18" x14ac:dyDescent="0.25">
      <c r="A69" s="204" t="s">
        <v>88</v>
      </c>
      <c r="B69" s="205" t="s">
        <v>625</v>
      </c>
      <c r="C69" s="197">
        <v>14</v>
      </c>
      <c r="D69" s="198">
        <v>12.3</v>
      </c>
      <c r="E69" s="199" t="s">
        <v>4</v>
      </c>
      <c r="F69" s="200">
        <v>47</v>
      </c>
      <c r="G69" s="201" t="s">
        <v>89</v>
      </c>
      <c r="H69" s="202">
        <v>14</v>
      </c>
      <c r="I69" s="199" t="s">
        <v>100</v>
      </c>
      <c r="J69" s="200" t="s">
        <v>317</v>
      </c>
      <c r="K69" s="200">
        <v>21</v>
      </c>
      <c r="L69" s="201" t="s">
        <v>89</v>
      </c>
      <c r="M69" s="449" t="s">
        <v>498</v>
      </c>
      <c r="N69" s="199" t="s">
        <v>343</v>
      </c>
      <c r="O69" s="199"/>
      <c r="P69" s="430">
        <f t="shared" si="30"/>
        <v>28</v>
      </c>
      <c r="Q69" s="430">
        <f t="shared" si="31"/>
        <v>33</v>
      </c>
      <c r="R69" s="430">
        <f t="shared" si="32"/>
        <v>61</v>
      </c>
    </row>
    <row r="70" spans="1:18" x14ac:dyDescent="0.25">
      <c r="A70" s="204" t="s">
        <v>88</v>
      </c>
      <c r="B70" s="205" t="s">
        <v>625</v>
      </c>
      <c r="C70" s="197">
        <v>14</v>
      </c>
      <c r="D70" s="198">
        <v>1</v>
      </c>
      <c r="E70" s="199" t="s">
        <v>70</v>
      </c>
      <c r="F70" s="200">
        <v>3</v>
      </c>
      <c r="G70" s="201" t="s">
        <v>89</v>
      </c>
      <c r="H70" s="202">
        <v>62</v>
      </c>
      <c r="I70" s="199" t="s">
        <v>3</v>
      </c>
      <c r="J70" s="200" t="s">
        <v>307</v>
      </c>
      <c r="K70" s="200">
        <v>3</v>
      </c>
      <c r="L70" s="201" t="s">
        <v>89</v>
      </c>
      <c r="M70" s="449" t="s">
        <v>308</v>
      </c>
      <c r="N70" s="199" t="s">
        <v>355</v>
      </c>
      <c r="O70" s="199"/>
      <c r="P70" s="430">
        <f t="shared" si="30"/>
        <v>22</v>
      </c>
      <c r="Q70" s="430">
        <f t="shared" si="31"/>
        <v>43</v>
      </c>
      <c r="R70" s="430">
        <f t="shared" si="32"/>
        <v>65</v>
      </c>
    </row>
    <row r="71" spans="1:18" x14ac:dyDescent="0.25">
      <c r="A71" s="204" t="s">
        <v>126</v>
      </c>
      <c r="B71" s="205" t="s">
        <v>625</v>
      </c>
      <c r="C71" s="197">
        <v>15</v>
      </c>
      <c r="D71" s="198">
        <v>12.3</v>
      </c>
      <c r="E71" s="199" t="s">
        <v>1</v>
      </c>
      <c r="F71" s="200">
        <v>17</v>
      </c>
      <c r="G71" s="201" t="s">
        <v>89</v>
      </c>
      <c r="H71" s="202">
        <v>22</v>
      </c>
      <c r="I71" s="199" t="s">
        <v>63</v>
      </c>
      <c r="J71" s="200" t="s">
        <v>341</v>
      </c>
      <c r="K71" s="200">
        <v>14</v>
      </c>
      <c r="L71" s="201" t="s">
        <v>89</v>
      </c>
      <c r="M71" s="449" t="s">
        <v>461</v>
      </c>
      <c r="N71" s="199" t="s">
        <v>365</v>
      </c>
      <c r="O71" s="199" t="s">
        <v>330</v>
      </c>
      <c r="P71" s="430">
        <f t="shared" si="30"/>
        <v>26</v>
      </c>
      <c r="Q71" s="430">
        <f t="shared" si="31"/>
        <v>13</v>
      </c>
      <c r="R71" s="430">
        <f t="shared" si="32"/>
        <v>39</v>
      </c>
    </row>
    <row r="72" spans="1:18" x14ac:dyDescent="0.25">
      <c r="A72" s="208" t="s">
        <v>78</v>
      </c>
      <c r="B72" s="187">
        <v>15</v>
      </c>
      <c r="C72" s="189"/>
      <c r="D72" s="188"/>
      <c r="E72" s="189"/>
      <c r="F72" s="181"/>
      <c r="G72" s="181"/>
      <c r="H72" s="191"/>
      <c r="I72" s="189"/>
      <c r="J72" s="181"/>
      <c r="K72" s="181"/>
      <c r="L72" s="181"/>
      <c r="M72" s="448"/>
      <c r="N72" s="189"/>
      <c r="O72" s="189"/>
      <c r="P72" s="430"/>
      <c r="Q72" s="430"/>
      <c r="R72" s="430"/>
    </row>
    <row r="73" spans="1:18" x14ac:dyDescent="0.25">
      <c r="A73" s="209" t="s">
        <v>187</v>
      </c>
      <c r="B73" s="207" t="s">
        <v>625</v>
      </c>
      <c r="C73" s="189">
        <v>20</v>
      </c>
      <c r="D73" s="188">
        <v>7.3</v>
      </c>
      <c r="E73" s="189" t="s">
        <v>0</v>
      </c>
      <c r="F73" s="181">
        <v>17</v>
      </c>
      <c r="G73" s="190" t="s">
        <v>89</v>
      </c>
      <c r="H73" s="191">
        <v>21</v>
      </c>
      <c r="I73" s="189" t="s">
        <v>100</v>
      </c>
      <c r="J73" s="181" t="s">
        <v>614</v>
      </c>
      <c r="K73" s="181">
        <v>5</v>
      </c>
      <c r="L73" s="190" t="s">
        <v>89</v>
      </c>
      <c r="M73" s="448" t="s">
        <v>498</v>
      </c>
      <c r="N73" s="189" t="s">
        <v>302</v>
      </c>
      <c r="O73" s="189"/>
      <c r="P73" s="430">
        <f t="shared" ref="P73:P76" si="33">SUM(K73+M73)</f>
        <v>12</v>
      </c>
      <c r="Q73" s="430">
        <f t="shared" ref="Q73:Q76" si="34">SUM(R73-P73)</f>
        <v>26</v>
      </c>
      <c r="R73" s="430">
        <f t="shared" ref="R73:R76" si="35">SUM(F73+H73)</f>
        <v>38</v>
      </c>
    </row>
    <row r="74" spans="1:18" x14ac:dyDescent="0.25">
      <c r="A74" s="209" t="s">
        <v>88</v>
      </c>
      <c r="B74" s="207" t="s">
        <v>625</v>
      </c>
      <c r="C74" s="189">
        <v>21</v>
      </c>
      <c r="D74" s="188">
        <v>12.3</v>
      </c>
      <c r="E74" s="189" t="s">
        <v>70</v>
      </c>
      <c r="F74" s="181">
        <v>0</v>
      </c>
      <c r="G74" s="190" t="s">
        <v>89</v>
      </c>
      <c r="H74" s="191">
        <v>43</v>
      </c>
      <c r="I74" s="189" t="s">
        <v>4</v>
      </c>
      <c r="J74" s="181" t="s">
        <v>307</v>
      </c>
      <c r="K74" s="181">
        <v>0</v>
      </c>
      <c r="L74" s="190" t="s">
        <v>89</v>
      </c>
      <c r="M74" s="448" t="s">
        <v>479</v>
      </c>
      <c r="N74" s="189" t="s">
        <v>355</v>
      </c>
      <c r="O74" s="189"/>
      <c r="P74" s="430">
        <f t="shared" si="33"/>
        <v>31</v>
      </c>
      <c r="Q74" s="430">
        <f t="shared" si="34"/>
        <v>12</v>
      </c>
      <c r="R74" s="430">
        <f t="shared" si="35"/>
        <v>43</v>
      </c>
    </row>
    <row r="75" spans="1:18" x14ac:dyDescent="0.25">
      <c r="A75" s="209" t="s">
        <v>126</v>
      </c>
      <c r="B75" s="207" t="s">
        <v>625</v>
      </c>
      <c r="C75" s="189">
        <v>22</v>
      </c>
      <c r="D75" s="188">
        <v>12.15</v>
      </c>
      <c r="E75" s="189" t="s">
        <v>540</v>
      </c>
      <c r="F75" s="181">
        <v>38</v>
      </c>
      <c r="G75" s="190" t="s">
        <v>89</v>
      </c>
      <c r="H75" s="191">
        <v>43</v>
      </c>
      <c r="I75" s="189" t="s">
        <v>63</v>
      </c>
      <c r="J75" s="181" t="s">
        <v>393</v>
      </c>
      <c r="K75" s="181">
        <v>21</v>
      </c>
      <c r="L75" s="190" t="s">
        <v>89</v>
      </c>
      <c r="M75" s="448" t="s">
        <v>461</v>
      </c>
      <c r="N75" s="189" t="s">
        <v>362</v>
      </c>
      <c r="O75" s="189" t="s">
        <v>330</v>
      </c>
      <c r="P75" s="430">
        <f t="shared" si="33"/>
        <v>33</v>
      </c>
      <c r="Q75" s="430">
        <f t="shared" si="34"/>
        <v>48</v>
      </c>
      <c r="R75" s="430">
        <f t="shared" si="35"/>
        <v>81</v>
      </c>
    </row>
    <row r="76" spans="1:18" x14ac:dyDescent="0.25">
      <c r="A76" s="209" t="s">
        <v>126</v>
      </c>
      <c r="B76" s="207" t="s">
        <v>625</v>
      </c>
      <c r="C76" s="182">
        <v>22</v>
      </c>
      <c r="D76" s="188">
        <v>3</v>
      </c>
      <c r="E76" s="189" t="s">
        <v>3</v>
      </c>
      <c r="F76" s="181">
        <v>25</v>
      </c>
      <c r="G76" s="190" t="s">
        <v>89</v>
      </c>
      <c r="H76" s="191">
        <v>7</v>
      </c>
      <c r="I76" s="189" t="s">
        <v>49</v>
      </c>
      <c r="J76" s="181" t="s">
        <v>676</v>
      </c>
      <c r="K76" s="181">
        <v>14</v>
      </c>
      <c r="L76" s="190" t="s">
        <v>89</v>
      </c>
      <c r="M76" s="448" t="s">
        <v>498</v>
      </c>
      <c r="N76" s="189" t="s">
        <v>319</v>
      </c>
      <c r="O76" s="189"/>
      <c r="P76" s="430">
        <f t="shared" si="33"/>
        <v>21</v>
      </c>
      <c r="Q76" s="430">
        <f t="shared" si="34"/>
        <v>11</v>
      </c>
      <c r="R76" s="430">
        <f t="shared" si="35"/>
        <v>32</v>
      </c>
    </row>
    <row r="77" spans="1:18" x14ac:dyDescent="0.25">
      <c r="A77" s="195" t="s">
        <v>78</v>
      </c>
      <c r="B77" s="196">
        <v>16</v>
      </c>
      <c r="C77" s="197"/>
      <c r="D77" s="198"/>
      <c r="E77" s="199"/>
      <c r="F77" s="200"/>
      <c r="G77" s="200"/>
      <c r="H77" s="202"/>
      <c r="I77" s="199"/>
      <c r="J77" s="200"/>
      <c r="K77" s="200"/>
      <c r="L77" s="200"/>
      <c r="M77" s="449"/>
      <c r="N77" s="199"/>
      <c r="O77" s="199"/>
      <c r="P77" s="430"/>
      <c r="Q77" s="430"/>
      <c r="R77" s="430"/>
    </row>
    <row r="78" spans="1:18" x14ac:dyDescent="0.25">
      <c r="A78" s="204"/>
      <c r="B78" s="205"/>
      <c r="C78" s="197"/>
      <c r="D78" s="198"/>
      <c r="E78" s="199"/>
      <c r="F78" s="200"/>
      <c r="G78" s="201" t="s">
        <v>89</v>
      </c>
      <c r="H78" s="202"/>
      <c r="I78" s="199"/>
      <c r="J78" s="200"/>
      <c r="K78" s="200"/>
      <c r="L78" s="201" t="s">
        <v>89</v>
      </c>
      <c r="M78" s="449"/>
      <c r="N78" s="199"/>
      <c r="O78" s="199"/>
      <c r="P78" s="430">
        <f t="shared" ref="P78:P81" si="36">SUM(K78+M78)</f>
        <v>0</v>
      </c>
      <c r="Q78" s="430">
        <f t="shared" ref="Q78:Q81" si="37">SUM(R78-P78)</f>
        <v>0</v>
      </c>
      <c r="R78" s="430">
        <f t="shared" ref="R78:R81" si="38">SUM(F78+H78)</f>
        <v>0</v>
      </c>
    </row>
    <row r="79" spans="1:18" x14ac:dyDescent="0.25">
      <c r="A79" s="204"/>
      <c r="B79" s="205"/>
      <c r="C79" s="197"/>
      <c r="D79" s="198"/>
      <c r="E79" s="199"/>
      <c r="F79" s="200"/>
      <c r="G79" s="201" t="s">
        <v>89</v>
      </c>
      <c r="H79" s="202"/>
      <c r="I79" s="199"/>
      <c r="J79" s="200"/>
      <c r="K79" s="200"/>
      <c r="L79" s="201" t="s">
        <v>89</v>
      </c>
      <c r="M79" s="449"/>
      <c r="N79" s="199"/>
      <c r="O79" s="199"/>
      <c r="P79" s="430">
        <f t="shared" si="36"/>
        <v>0</v>
      </c>
      <c r="Q79" s="430">
        <f t="shared" si="37"/>
        <v>0</v>
      </c>
      <c r="R79" s="430">
        <f t="shared" si="38"/>
        <v>0</v>
      </c>
    </row>
    <row r="80" spans="1:18" x14ac:dyDescent="0.25">
      <c r="A80" s="204"/>
      <c r="B80" s="205"/>
      <c r="C80" s="197"/>
      <c r="D80" s="198"/>
      <c r="E80" s="199"/>
      <c r="F80" s="200"/>
      <c r="G80" s="201" t="s">
        <v>89</v>
      </c>
      <c r="H80" s="202"/>
      <c r="I80" s="199"/>
      <c r="J80" s="200"/>
      <c r="K80" s="200"/>
      <c r="L80" s="201" t="s">
        <v>89</v>
      </c>
      <c r="M80" s="449"/>
      <c r="N80" s="199"/>
      <c r="O80" s="199"/>
      <c r="P80" s="430">
        <f t="shared" si="36"/>
        <v>0</v>
      </c>
      <c r="Q80" s="430">
        <f t="shared" si="37"/>
        <v>0</v>
      </c>
      <c r="R80" s="430">
        <f t="shared" si="38"/>
        <v>0</v>
      </c>
    </row>
    <row r="81" spans="1:18" x14ac:dyDescent="0.25">
      <c r="A81" s="204"/>
      <c r="B81" s="205"/>
      <c r="C81" s="197"/>
      <c r="D81" s="198"/>
      <c r="E81" s="199"/>
      <c r="F81" s="200"/>
      <c r="G81" s="201" t="s">
        <v>89</v>
      </c>
      <c r="H81" s="202"/>
      <c r="I81" s="199"/>
      <c r="J81" s="200"/>
      <c r="K81" s="200"/>
      <c r="L81" s="201" t="s">
        <v>89</v>
      </c>
      <c r="M81" s="449"/>
      <c r="N81" s="199"/>
      <c r="O81" s="199"/>
      <c r="P81" s="430">
        <f t="shared" si="36"/>
        <v>0</v>
      </c>
      <c r="Q81" s="430">
        <f t="shared" si="37"/>
        <v>0</v>
      </c>
      <c r="R81" s="430">
        <f t="shared" si="38"/>
        <v>0</v>
      </c>
    </row>
    <row r="82" spans="1:18" x14ac:dyDescent="0.25">
      <c r="A82" s="208" t="s">
        <v>78</v>
      </c>
      <c r="B82" s="187">
        <v>17</v>
      </c>
      <c r="C82" s="189"/>
      <c r="D82" s="188"/>
      <c r="E82" s="189"/>
      <c r="F82" s="181"/>
      <c r="G82" s="181"/>
      <c r="H82" s="191"/>
      <c r="I82" s="189"/>
      <c r="J82" s="181"/>
      <c r="K82" s="181"/>
      <c r="L82" s="181"/>
      <c r="M82" s="448"/>
      <c r="N82" s="189"/>
      <c r="O82" s="189"/>
      <c r="P82" s="430"/>
      <c r="Q82" s="430"/>
      <c r="R82" s="430"/>
    </row>
    <row r="83" spans="1:18" x14ac:dyDescent="0.25">
      <c r="A83" s="209"/>
      <c r="B83" s="207"/>
      <c r="C83" s="189"/>
      <c r="D83" s="188"/>
      <c r="E83" s="189"/>
      <c r="F83" s="181"/>
      <c r="G83" s="190" t="s">
        <v>89</v>
      </c>
      <c r="H83" s="191"/>
      <c r="I83" s="189"/>
      <c r="J83" s="181"/>
      <c r="K83" s="181"/>
      <c r="L83" s="190" t="s">
        <v>89</v>
      </c>
      <c r="M83" s="448"/>
      <c r="N83" s="189"/>
      <c r="O83" s="189"/>
      <c r="P83" s="430">
        <f t="shared" ref="P83:P86" si="39">SUM(K83+M83)</f>
        <v>0</v>
      </c>
      <c r="Q83" s="430">
        <f t="shared" ref="Q83:Q86" si="40">SUM(R83-P83)</f>
        <v>0</v>
      </c>
      <c r="R83" s="430">
        <f t="shared" ref="R83:R86" si="41">SUM(F83+H83)</f>
        <v>0</v>
      </c>
    </row>
    <row r="84" spans="1:18" x14ac:dyDescent="0.25">
      <c r="A84" s="209"/>
      <c r="B84" s="207"/>
      <c r="C84" s="189"/>
      <c r="D84" s="188"/>
      <c r="E84" s="189"/>
      <c r="F84" s="181"/>
      <c r="G84" s="190" t="s">
        <v>89</v>
      </c>
      <c r="H84" s="191"/>
      <c r="I84" s="189"/>
      <c r="J84" s="181"/>
      <c r="K84" s="181"/>
      <c r="L84" s="190" t="s">
        <v>89</v>
      </c>
      <c r="M84" s="448"/>
      <c r="N84" s="189"/>
      <c r="O84" s="189"/>
      <c r="P84" s="430">
        <f t="shared" si="39"/>
        <v>0</v>
      </c>
      <c r="Q84" s="430">
        <f t="shared" si="40"/>
        <v>0</v>
      </c>
      <c r="R84" s="430">
        <f t="shared" si="41"/>
        <v>0</v>
      </c>
    </row>
    <row r="85" spans="1:18" x14ac:dyDescent="0.25">
      <c r="A85" s="209"/>
      <c r="B85" s="207"/>
      <c r="C85" s="189"/>
      <c r="D85" s="188"/>
      <c r="E85" s="189"/>
      <c r="F85" s="181"/>
      <c r="G85" s="190" t="s">
        <v>89</v>
      </c>
      <c r="H85" s="191"/>
      <c r="I85" s="189"/>
      <c r="J85" s="181"/>
      <c r="K85" s="181"/>
      <c r="L85" s="190" t="s">
        <v>89</v>
      </c>
      <c r="M85" s="448"/>
      <c r="N85" s="189"/>
      <c r="O85" s="189"/>
      <c r="P85" s="430">
        <f t="shared" si="39"/>
        <v>0</v>
      </c>
      <c r="Q85" s="430">
        <f t="shared" si="40"/>
        <v>0</v>
      </c>
      <c r="R85" s="430">
        <f t="shared" si="41"/>
        <v>0</v>
      </c>
    </row>
    <row r="86" spans="1:18" x14ac:dyDescent="0.25">
      <c r="A86" s="209"/>
      <c r="B86" s="207"/>
      <c r="C86" s="189"/>
      <c r="D86" s="188"/>
      <c r="E86" s="189"/>
      <c r="F86" s="181"/>
      <c r="G86" s="190" t="s">
        <v>89</v>
      </c>
      <c r="H86" s="191"/>
      <c r="I86" s="189"/>
      <c r="J86" s="181"/>
      <c r="K86" s="181"/>
      <c r="L86" s="190" t="s">
        <v>89</v>
      </c>
      <c r="M86" s="448"/>
      <c r="N86" s="189"/>
      <c r="O86" s="189"/>
      <c r="P86" s="430">
        <f t="shared" si="39"/>
        <v>0</v>
      </c>
      <c r="Q86" s="430">
        <f t="shared" si="40"/>
        <v>0</v>
      </c>
      <c r="R86" s="430">
        <f t="shared" si="41"/>
        <v>0</v>
      </c>
    </row>
    <row r="87" spans="1:18" x14ac:dyDescent="0.25">
      <c r="A87" s="195" t="s">
        <v>78</v>
      </c>
      <c r="B87" s="196">
        <v>18</v>
      </c>
      <c r="C87" s="197"/>
      <c r="D87" s="198"/>
      <c r="E87" s="199"/>
      <c r="F87" s="200"/>
      <c r="G87" s="200"/>
      <c r="H87" s="202"/>
      <c r="I87" s="199"/>
      <c r="J87" s="200"/>
      <c r="K87" s="200"/>
      <c r="L87" s="200"/>
      <c r="M87" s="449"/>
      <c r="N87" s="199"/>
      <c r="O87" s="199"/>
      <c r="P87" s="430"/>
      <c r="Q87" s="430"/>
      <c r="R87" s="430"/>
    </row>
    <row r="88" spans="1:18" x14ac:dyDescent="0.25">
      <c r="A88" s="204"/>
      <c r="B88" s="205"/>
      <c r="C88" s="197"/>
      <c r="D88" s="198"/>
      <c r="E88" s="199"/>
      <c r="F88" s="200"/>
      <c r="G88" s="201" t="s">
        <v>89</v>
      </c>
      <c r="H88" s="202"/>
      <c r="I88" s="199"/>
      <c r="J88" s="200"/>
      <c r="K88" s="200"/>
      <c r="L88" s="201" t="s">
        <v>89</v>
      </c>
      <c r="M88" s="449"/>
      <c r="N88" s="199"/>
      <c r="O88" s="199"/>
      <c r="P88" s="430">
        <f t="shared" ref="P88:P91" si="42">SUM(K88+M88)</f>
        <v>0</v>
      </c>
      <c r="Q88" s="430">
        <f t="shared" ref="Q88:Q91" si="43">SUM(R88-P88)</f>
        <v>0</v>
      </c>
      <c r="R88" s="430">
        <f t="shared" ref="R88:R91" si="44">SUM(F88+H88)</f>
        <v>0</v>
      </c>
    </row>
    <row r="89" spans="1:18" x14ac:dyDescent="0.25">
      <c r="A89" s="204"/>
      <c r="B89" s="205"/>
      <c r="C89" s="197"/>
      <c r="D89" s="198"/>
      <c r="E89" s="199"/>
      <c r="F89" s="200"/>
      <c r="G89" s="201" t="s">
        <v>89</v>
      </c>
      <c r="H89" s="202"/>
      <c r="I89" s="199"/>
      <c r="J89" s="200"/>
      <c r="K89" s="200"/>
      <c r="L89" s="201" t="s">
        <v>89</v>
      </c>
      <c r="M89" s="449"/>
      <c r="N89" s="199"/>
      <c r="O89" s="199"/>
      <c r="P89" s="430">
        <f t="shared" si="42"/>
        <v>0</v>
      </c>
      <c r="Q89" s="430">
        <f t="shared" si="43"/>
        <v>0</v>
      </c>
      <c r="R89" s="430">
        <f t="shared" si="44"/>
        <v>0</v>
      </c>
    </row>
    <row r="90" spans="1:18" x14ac:dyDescent="0.25">
      <c r="A90" s="204"/>
      <c r="B90" s="205"/>
      <c r="C90" s="197"/>
      <c r="D90" s="198"/>
      <c r="E90" s="199"/>
      <c r="F90" s="200"/>
      <c r="G90" s="201" t="s">
        <v>89</v>
      </c>
      <c r="H90" s="202"/>
      <c r="I90" s="199"/>
      <c r="J90" s="200"/>
      <c r="K90" s="200"/>
      <c r="L90" s="201" t="s">
        <v>89</v>
      </c>
      <c r="M90" s="449"/>
      <c r="N90" s="199"/>
      <c r="O90" s="199"/>
      <c r="P90" s="430">
        <f t="shared" si="42"/>
        <v>0</v>
      </c>
      <c r="Q90" s="430">
        <f t="shared" si="43"/>
        <v>0</v>
      </c>
      <c r="R90" s="430">
        <f t="shared" si="44"/>
        <v>0</v>
      </c>
    </row>
    <row r="91" spans="1:18" x14ac:dyDescent="0.25">
      <c r="A91" s="204"/>
      <c r="B91" s="205"/>
      <c r="C91" s="197"/>
      <c r="D91" s="198"/>
      <c r="E91" s="199"/>
      <c r="F91" s="200"/>
      <c r="G91" s="201" t="s">
        <v>89</v>
      </c>
      <c r="H91" s="202"/>
      <c r="I91" s="199"/>
      <c r="J91" s="200"/>
      <c r="K91" s="200"/>
      <c r="L91" s="201" t="s">
        <v>89</v>
      </c>
      <c r="M91" s="449"/>
      <c r="N91" s="199"/>
      <c r="O91" s="199"/>
      <c r="P91" s="430">
        <f t="shared" si="42"/>
        <v>0</v>
      </c>
      <c r="Q91" s="430">
        <f t="shared" si="43"/>
        <v>0</v>
      </c>
      <c r="R91" s="430">
        <f t="shared" si="44"/>
        <v>0</v>
      </c>
    </row>
    <row r="92" spans="1:18" x14ac:dyDescent="0.25">
      <c r="A92" s="186" t="s">
        <v>85</v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2"/>
      <c r="N92" s="189"/>
      <c r="O92" s="189"/>
      <c r="P92" s="430"/>
      <c r="Q92" s="430"/>
      <c r="R92" s="430"/>
    </row>
    <row r="93" spans="1:18" x14ac:dyDescent="0.25">
      <c r="A93" s="213"/>
      <c r="B93" s="189"/>
      <c r="C93" s="189"/>
      <c r="D93" s="188"/>
      <c r="E93" s="189"/>
      <c r="F93" s="189"/>
      <c r="G93" s="190" t="s">
        <v>89</v>
      </c>
      <c r="H93" s="189"/>
      <c r="I93" s="189"/>
      <c r="J93" s="189" t="s">
        <v>50</v>
      </c>
      <c r="K93" s="189"/>
      <c r="L93" s="190" t="s">
        <v>89</v>
      </c>
      <c r="M93" s="448"/>
      <c r="N93" s="189"/>
      <c r="O93" s="189"/>
      <c r="P93" s="430">
        <f t="shared" ref="P93:P94" si="45">SUM(K93+M93)</f>
        <v>0</v>
      </c>
      <c r="Q93" s="430">
        <f t="shared" ref="Q93:Q94" si="46">SUM(R93-P93)</f>
        <v>0</v>
      </c>
      <c r="R93" s="430">
        <f t="shared" ref="R93:R94" si="47">SUM(F93+H93)</f>
        <v>0</v>
      </c>
    </row>
    <row r="94" spans="1:18" x14ac:dyDescent="0.25">
      <c r="A94" s="209"/>
      <c r="B94" s="189"/>
      <c r="C94" s="189"/>
      <c r="D94" s="188"/>
      <c r="E94" s="189"/>
      <c r="F94" s="189"/>
      <c r="G94" s="190" t="s">
        <v>89</v>
      </c>
      <c r="H94" s="189"/>
      <c r="I94" s="189"/>
      <c r="J94" s="189" t="s">
        <v>50</v>
      </c>
      <c r="K94" s="189"/>
      <c r="L94" s="190" t="s">
        <v>89</v>
      </c>
      <c r="M94" s="182"/>
      <c r="N94" s="189"/>
      <c r="O94" s="189"/>
      <c r="P94" s="430">
        <f t="shared" si="45"/>
        <v>0</v>
      </c>
      <c r="Q94" s="430">
        <f t="shared" si="46"/>
        <v>0</v>
      </c>
      <c r="R94" s="430">
        <f t="shared" si="47"/>
        <v>0</v>
      </c>
    </row>
    <row r="95" spans="1:18" x14ac:dyDescent="0.25">
      <c r="A95" s="210" t="s">
        <v>86</v>
      </c>
      <c r="B95" s="199"/>
      <c r="C95" s="199"/>
      <c r="D95" s="198"/>
      <c r="E95" s="199"/>
      <c r="F95" s="199"/>
      <c r="G95" s="199"/>
      <c r="H95" s="199"/>
      <c r="I95" s="199"/>
      <c r="J95" s="199"/>
      <c r="K95" s="199"/>
      <c r="L95" s="199"/>
      <c r="M95" s="449"/>
      <c r="N95" s="199"/>
      <c r="O95" s="199"/>
      <c r="P95" s="430"/>
      <c r="Q95" s="430"/>
      <c r="R95" s="430"/>
    </row>
    <row r="96" spans="1:18" x14ac:dyDescent="0.25">
      <c r="A96" s="199"/>
      <c r="B96" s="199"/>
      <c r="C96" s="199"/>
      <c r="D96" s="198"/>
      <c r="E96" s="199"/>
      <c r="F96" s="199"/>
      <c r="G96" s="201" t="s">
        <v>89</v>
      </c>
      <c r="H96" s="199"/>
      <c r="I96" s="199"/>
      <c r="J96" s="199" t="s">
        <v>50</v>
      </c>
      <c r="K96" s="199"/>
      <c r="L96" s="201" t="s">
        <v>89</v>
      </c>
      <c r="M96" s="197"/>
      <c r="N96" s="199"/>
      <c r="O96" s="199"/>
      <c r="P96" s="429">
        <f t="shared" ref="P96" si="48">SUM(K96+M96)</f>
        <v>0</v>
      </c>
      <c r="Q96" s="429">
        <f t="shared" ref="Q96" si="49">SUM(R96-P96)</f>
        <v>0</v>
      </c>
      <c r="R96" s="429">
        <f t="shared" ref="R96" si="50">SUM(F96+H96)</f>
        <v>0</v>
      </c>
    </row>
    <row r="97" spans="1:18" x14ac:dyDescent="0.25">
      <c r="B97" s="216"/>
      <c r="C97" s="185"/>
      <c r="D97" s="183"/>
      <c r="E97" s="216">
        <f>SUM(F2:F96)</f>
        <v>1763</v>
      </c>
      <c r="F97" s="217"/>
      <c r="I97" s="216">
        <f>SUM(H2:H96)</f>
        <v>1730</v>
      </c>
      <c r="J97" s="218" t="s">
        <v>12</v>
      </c>
      <c r="K97" s="218"/>
      <c r="L97" s="218"/>
      <c r="M97" s="184"/>
      <c r="P97" s="428"/>
      <c r="Q97" s="428"/>
      <c r="R97" s="216">
        <f>SUM(R1:R96)</f>
        <v>3493</v>
      </c>
    </row>
    <row r="98" spans="1:18" x14ac:dyDescent="0.25">
      <c r="B98" s="216"/>
      <c r="C98" s="185"/>
      <c r="D98" s="183"/>
      <c r="I98" s="216">
        <f>SUM(E97+I97)</f>
        <v>3493</v>
      </c>
      <c r="J98" s="216" t="s">
        <v>87</v>
      </c>
      <c r="K98" s="216"/>
      <c r="L98" s="216"/>
      <c r="M98" s="184"/>
      <c r="P98" s="33"/>
      <c r="Q98" s="33"/>
    </row>
    <row r="99" spans="1:18" x14ac:dyDescent="0.25">
      <c r="A99" s="68"/>
      <c r="B99" s="216"/>
      <c r="C99" s="185"/>
      <c r="D99" s="183"/>
      <c r="M99" s="184"/>
    </row>
    <row r="100" spans="1:18" ht="16.3" x14ac:dyDescent="0.3">
      <c r="A100" s="475" t="s">
        <v>47</v>
      </c>
      <c r="D100" s="183"/>
      <c r="M100" s="184"/>
    </row>
    <row r="101" spans="1:18" x14ac:dyDescent="0.25">
      <c r="D101" s="183"/>
    </row>
    <row r="102" spans="1:18" x14ac:dyDescent="0.25">
      <c r="D102" s="183"/>
    </row>
    <row r="103" spans="1:18" x14ac:dyDescent="0.25">
      <c r="D103" s="183"/>
    </row>
    <row r="104" spans="1:18" x14ac:dyDescent="0.25">
      <c r="D104" s="183"/>
    </row>
    <row r="105" spans="1:18" x14ac:dyDescent="0.25">
      <c r="D105" s="183"/>
    </row>
    <row r="106" spans="1:18" x14ac:dyDescent="0.25">
      <c r="D106" s="183"/>
    </row>
    <row r="107" spans="1:18" x14ac:dyDescent="0.25">
      <c r="D107" s="183"/>
    </row>
    <row r="108" spans="1:18" x14ac:dyDescent="0.25">
      <c r="D108" s="183"/>
    </row>
    <row r="109" spans="1:18" x14ac:dyDescent="0.25">
      <c r="C109" s="185"/>
      <c r="D109" s="183"/>
    </row>
  </sheetData>
  <mergeCells count="3">
    <mergeCell ref="P1:Q1"/>
    <mergeCell ref="A1:E1"/>
    <mergeCell ref="K2:M2"/>
  </mergeCells>
  <pageMargins left="0.7" right="0.7" top="0.75" bottom="0.75" header="0.3" footer="0.3"/>
  <ignoredErrors>
    <ignoredError sqref="M3:M4 M5:M6 M8:M11 M13:M16 M18:M21 M23:M31 M33:M36 M38:M41 M43:M46 M48:M51 M53:M61 M63:M66 M68:M71 M73:M76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36"/>
  <sheetViews>
    <sheetView tabSelected="1" zoomScale="90" zoomScaleNormal="90" workbookViewId="0">
      <pane ySplit="2" topLeftCell="A3" activePane="bottomLeft" state="frozen"/>
      <selection pane="bottomLeft" activeCell="E21" sqref="E21"/>
    </sheetView>
  </sheetViews>
  <sheetFormatPr defaultColWidth="8.75" defaultRowHeight="14.3" x14ac:dyDescent="0.25"/>
  <cols>
    <col min="1" max="1" width="9.75" customWidth="1"/>
    <col min="2" max="2" width="5.75" customWidth="1"/>
    <col min="3" max="3" width="13.25" bestFit="1" customWidth="1"/>
    <col min="4" max="5" width="3.75" customWidth="1"/>
    <col min="6" max="7" width="4" bestFit="1" customWidth="1"/>
    <col min="8" max="18" width="3.75" customWidth="1"/>
    <col min="19" max="19" width="5.75" customWidth="1"/>
    <col min="20" max="20" width="16" bestFit="1" customWidth="1"/>
    <col min="21" max="21" width="20" bestFit="1" customWidth="1"/>
    <col min="22" max="22" width="18.5" bestFit="1" customWidth="1"/>
    <col min="23" max="23" width="16.25" bestFit="1" customWidth="1"/>
    <col min="24" max="39" width="3.75" customWidth="1"/>
    <col min="40" max="40" width="1.625" customWidth="1"/>
    <col min="41" max="41" width="12.75" bestFit="1" customWidth="1"/>
  </cols>
  <sheetData>
    <row r="1" spans="1:42" ht="14.95" customHeight="1" thickBot="1" x14ac:dyDescent="0.3">
      <c r="A1" s="732" t="s">
        <v>232</v>
      </c>
      <c r="B1" s="733"/>
      <c r="C1" s="733"/>
      <c r="D1" s="734"/>
      <c r="E1" s="735" t="s">
        <v>36</v>
      </c>
      <c r="F1" s="736"/>
      <c r="G1" s="737"/>
      <c r="H1" s="735" t="s">
        <v>35</v>
      </c>
      <c r="I1" s="737"/>
      <c r="J1" s="738" t="s">
        <v>16</v>
      </c>
      <c r="K1" s="739"/>
      <c r="L1" s="739"/>
      <c r="M1" s="740"/>
      <c r="N1" s="738" t="s">
        <v>17</v>
      </c>
      <c r="O1" s="740"/>
      <c r="P1" s="738" t="s">
        <v>38</v>
      </c>
      <c r="Q1" s="739"/>
      <c r="R1" s="740"/>
      <c r="S1" s="85" t="s">
        <v>18</v>
      </c>
      <c r="T1" s="86" t="s">
        <v>19</v>
      </c>
      <c r="U1" s="87" t="s">
        <v>20</v>
      </c>
      <c r="V1" s="88" t="s">
        <v>44</v>
      </c>
      <c r="W1" s="88" t="s">
        <v>45</v>
      </c>
      <c r="X1" s="729" t="s">
        <v>30</v>
      </c>
      <c r="Y1" s="730"/>
      <c r="Z1" s="730"/>
      <c r="AA1" s="731"/>
      <c r="AB1" s="729" t="s">
        <v>31</v>
      </c>
      <c r="AC1" s="730"/>
      <c r="AD1" s="730"/>
      <c r="AE1" s="731"/>
      <c r="AF1" s="729" t="s">
        <v>32</v>
      </c>
      <c r="AG1" s="730"/>
      <c r="AH1" s="730"/>
      <c r="AI1" s="730"/>
      <c r="AJ1" s="729" t="s">
        <v>48</v>
      </c>
      <c r="AK1" s="730"/>
      <c r="AL1" s="730"/>
      <c r="AM1" s="731"/>
      <c r="AO1" s="438" t="s">
        <v>195</v>
      </c>
    </row>
    <row r="2" spans="1:42" ht="14.95" customHeight="1" thickBot="1" x14ac:dyDescent="0.3">
      <c r="A2" s="89" t="s">
        <v>28</v>
      </c>
      <c r="B2" s="83" t="s">
        <v>27</v>
      </c>
      <c r="C2" s="84" t="s">
        <v>26</v>
      </c>
      <c r="D2" s="84" t="s">
        <v>37</v>
      </c>
      <c r="E2" s="90" t="s">
        <v>25</v>
      </c>
      <c r="F2" s="90" t="s">
        <v>11</v>
      </c>
      <c r="G2" s="90" t="s">
        <v>12</v>
      </c>
      <c r="H2" s="91" t="s">
        <v>33</v>
      </c>
      <c r="I2" s="92" t="s">
        <v>34</v>
      </c>
      <c r="J2" s="92" t="s">
        <v>21</v>
      </c>
      <c r="K2" s="92" t="s">
        <v>22</v>
      </c>
      <c r="L2" s="92" t="s">
        <v>9</v>
      </c>
      <c r="M2" s="92" t="s">
        <v>23</v>
      </c>
      <c r="N2" s="92" t="s">
        <v>24</v>
      </c>
      <c r="O2" s="92" t="s">
        <v>25</v>
      </c>
      <c r="P2" s="92" t="s">
        <v>33</v>
      </c>
      <c r="Q2" s="92" t="s">
        <v>34</v>
      </c>
      <c r="R2" s="92" t="s">
        <v>21</v>
      </c>
      <c r="S2" s="93"/>
      <c r="T2" s="94"/>
      <c r="U2" s="93"/>
      <c r="V2" s="427"/>
      <c r="W2" s="95"/>
      <c r="X2" s="96" t="s">
        <v>7</v>
      </c>
      <c r="Y2" s="96" t="s">
        <v>8</v>
      </c>
      <c r="Z2" s="96" t="s">
        <v>9</v>
      </c>
      <c r="AA2" s="96" t="s">
        <v>10</v>
      </c>
      <c r="AB2" s="96" t="s">
        <v>7</v>
      </c>
      <c r="AC2" s="96" t="s">
        <v>8</v>
      </c>
      <c r="AD2" s="96" t="s">
        <v>9</v>
      </c>
      <c r="AE2" s="96" t="s">
        <v>10</v>
      </c>
      <c r="AF2" s="96" t="s">
        <v>7</v>
      </c>
      <c r="AG2" s="96" t="s">
        <v>8</v>
      </c>
      <c r="AH2" s="96" t="s">
        <v>9</v>
      </c>
      <c r="AI2" s="96" t="s">
        <v>10</v>
      </c>
      <c r="AJ2" s="96" t="s">
        <v>7</v>
      </c>
      <c r="AK2" s="96" t="s">
        <v>8</v>
      </c>
      <c r="AL2" s="96" t="s">
        <v>9</v>
      </c>
      <c r="AM2" s="96" t="s">
        <v>10</v>
      </c>
      <c r="AO2" s="319" t="s">
        <v>197</v>
      </c>
      <c r="AP2" s="1"/>
    </row>
    <row r="3" spans="1:42" ht="14.95" customHeight="1" thickBot="1" x14ac:dyDescent="0.35">
      <c r="A3" s="611" t="s">
        <v>374</v>
      </c>
      <c r="B3" s="541" t="s">
        <v>260</v>
      </c>
      <c r="C3" s="541" t="s">
        <v>70</v>
      </c>
      <c r="D3" s="542" t="s">
        <v>432</v>
      </c>
      <c r="E3" s="542" t="s">
        <v>8</v>
      </c>
      <c r="F3" s="542">
        <v>58</v>
      </c>
      <c r="G3" s="542">
        <v>7</v>
      </c>
      <c r="H3" s="602">
        <v>1</v>
      </c>
      <c r="I3" s="602">
        <v>0</v>
      </c>
      <c r="J3" s="602">
        <v>10</v>
      </c>
      <c r="K3" s="602">
        <v>4</v>
      </c>
      <c r="L3" s="602">
        <v>0</v>
      </c>
      <c r="M3" s="602">
        <v>0</v>
      </c>
      <c r="N3" s="602">
        <v>1</v>
      </c>
      <c r="O3" s="602">
        <v>0</v>
      </c>
      <c r="P3" s="602">
        <v>0</v>
      </c>
      <c r="Q3" s="602">
        <v>0</v>
      </c>
      <c r="R3" s="602">
        <v>1</v>
      </c>
      <c r="S3" s="554" t="s">
        <v>434</v>
      </c>
      <c r="T3" s="544"/>
      <c r="U3" s="545"/>
      <c r="V3" s="613"/>
      <c r="W3" s="546"/>
      <c r="X3" s="615">
        <v>1</v>
      </c>
      <c r="Y3" s="615">
        <v>1</v>
      </c>
      <c r="Z3" s="615">
        <v>0</v>
      </c>
      <c r="AA3" s="616">
        <v>0</v>
      </c>
      <c r="AB3" s="615">
        <v>0</v>
      </c>
      <c r="AC3" s="615">
        <v>0</v>
      </c>
      <c r="AD3" s="615">
        <v>0</v>
      </c>
      <c r="AE3" s="616">
        <v>0</v>
      </c>
      <c r="AF3" s="615">
        <v>1</v>
      </c>
      <c r="AG3" s="615">
        <v>1</v>
      </c>
      <c r="AH3" s="615">
        <v>0</v>
      </c>
      <c r="AI3" s="617">
        <v>0</v>
      </c>
      <c r="AJ3" s="615">
        <v>0</v>
      </c>
      <c r="AK3" s="615">
        <v>0</v>
      </c>
      <c r="AL3" s="615">
        <v>0</v>
      </c>
      <c r="AM3" s="617">
        <v>0</v>
      </c>
      <c r="AO3" s="435" t="s">
        <v>64</v>
      </c>
      <c r="AP3" s="436">
        <f>BristolPWRhistplayed</f>
        <v>152</v>
      </c>
    </row>
    <row r="4" spans="1:42" ht="14.95" customHeight="1" thickBot="1" x14ac:dyDescent="0.3">
      <c r="A4" s="550" t="s">
        <v>255</v>
      </c>
      <c r="B4" s="541" t="s">
        <v>260</v>
      </c>
      <c r="C4" s="541" t="s">
        <v>1</v>
      </c>
      <c r="D4" s="542" t="s">
        <v>12</v>
      </c>
      <c r="E4" s="542" t="s">
        <v>10</v>
      </c>
      <c r="F4" s="542">
        <v>28</v>
      </c>
      <c r="G4" s="542">
        <v>45</v>
      </c>
      <c r="H4" s="602">
        <v>1</v>
      </c>
      <c r="I4" s="602">
        <v>0</v>
      </c>
      <c r="J4" s="602">
        <v>4</v>
      </c>
      <c r="K4" s="602">
        <v>4</v>
      </c>
      <c r="L4" s="602">
        <v>0</v>
      </c>
      <c r="M4" s="602">
        <v>0</v>
      </c>
      <c r="N4" s="602">
        <v>3</v>
      </c>
      <c r="O4" s="602">
        <v>0</v>
      </c>
      <c r="P4" s="602">
        <v>1</v>
      </c>
      <c r="Q4" s="602">
        <v>0</v>
      </c>
      <c r="R4" s="602">
        <v>7</v>
      </c>
      <c r="S4" s="640" t="s">
        <v>435</v>
      </c>
      <c r="T4" s="544" t="s">
        <v>291</v>
      </c>
      <c r="U4" s="545" t="s">
        <v>50</v>
      </c>
      <c r="V4" s="613" t="s">
        <v>286</v>
      </c>
      <c r="W4" s="546" t="s">
        <v>323</v>
      </c>
      <c r="X4" s="615">
        <v>1</v>
      </c>
      <c r="Y4" s="615">
        <v>0</v>
      </c>
      <c r="Z4" s="615">
        <v>0</v>
      </c>
      <c r="AA4" s="616">
        <v>1</v>
      </c>
      <c r="AB4" s="615">
        <v>0</v>
      </c>
      <c r="AC4" s="615">
        <v>0</v>
      </c>
      <c r="AD4" s="615">
        <v>0</v>
      </c>
      <c r="AE4" s="616">
        <v>0</v>
      </c>
      <c r="AF4" s="615">
        <v>1</v>
      </c>
      <c r="AG4" s="615">
        <v>0</v>
      </c>
      <c r="AH4" s="615">
        <v>0</v>
      </c>
      <c r="AI4" s="617">
        <v>1</v>
      </c>
      <c r="AJ4" s="615">
        <v>0</v>
      </c>
      <c r="AK4" s="615">
        <v>0</v>
      </c>
      <c r="AL4" s="615">
        <v>0</v>
      </c>
      <c r="AM4" s="617">
        <v>0</v>
      </c>
      <c r="AO4" s="373" t="s">
        <v>65</v>
      </c>
      <c r="AP4" s="437">
        <f>BristolPWRhistwon</f>
        <v>74</v>
      </c>
    </row>
    <row r="5" spans="1:42" ht="14.95" customHeight="1" thickBot="1" x14ac:dyDescent="0.35">
      <c r="A5" s="553" t="s">
        <v>259</v>
      </c>
      <c r="B5" s="530" t="s">
        <v>260</v>
      </c>
      <c r="C5" s="530" t="s">
        <v>540</v>
      </c>
      <c r="D5" s="531" t="s">
        <v>153</v>
      </c>
      <c r="E5" s="531" t="s">
        <v>8</v>
      </c>
      <c r="F5" s="531">
        <v>36</v>
      </c>
      <c r="G5" s="531">
        <v>29</v>
      </c>
      <c r="H5" s="601">
        <v>1</v>
      </c>
      <c r="I5" s="601">
        <v>0</v>
      </c>
      <c r="J5" s="601">
        <v>6</v>
      </c>
      <c r="K5" s="601">
        <v>3</v>
      </c>
      <c r="L5" s="601">
        <v>0</v>
      </c>
      <c r="M5" s="601">
        <v>0</v>
      </c>
      <c r="N5" s="601">
        <v>0</v>
      </c>
      <c r="O5" s="601">
        <v>0</v>
      </c>
      <c r="P5" s="601">
        <v>1</v>
      </c>
      <c r="Q5" s="601">
        <v>1</v>
      </c>
      <c r="R5" s="601">
        <v>4</v>
      </c>
      <c r="S5" s="556" t="s">
        <v>419</v>
      </c>
      <c r="T5" s="532" t="s">
        <v>282</v>
      </c>
      <c r="U5" s="533" t="s">
        <v>50</v>
      </c>
      <c r="V5" s="562" t="s">
        <v>444</v>
      </c>
      <c r="W5" s="534" t="s">
        <v>380</v>
      </c>
      <c r="X5" s="618">
        <v>1</v>
      </c>
      <c r="Y5" s="618">
        <v>1</v>
      </c>
      <c r="Z5" s="618">
        <v>0</v>
      </c>
      <c r="AA5" s="619">
        <v>0</v>
      </c>
      <c r="AB5" s="618">
        <v>1</v>
      </c>
      <c r="AC5" s="618">
        <v>1</v>
      </c>
      <c r="AD5" s="618">
        <v>0</v>
      </c>
      <c r="AE5" s="619">
        <v>0</v>
      </c>
      <c r="AF5" s="618">
        <v>0</v>
      </c>
      <c r="AG5" s="618">
        <v>0</v>
      </c>
      <c r="AH5" s="618">
        <v>0</v>
      </c>
      <c r="AI5" s="620">
        <v>0</v>
      </c>
      <c r="AJ5" s="618">
        <v>0</v>
      </c>
      <c r="AK5" s="618">
        <v>0</v>
      </c>
      <c r="AL5" s="618">
        <v>0</v>
      </c>
      <c r="AM5" s="620">
        <v>0</v>
      </c>
      <c r="AO5" s="373" t="s">
        <v>192</v>
      </c>
      <c r="AP5" s="437">
        <f>BristolPWRhistDrawn</f>
        <v>3</v>
      </c>
    </row>
    <row r="6" spans="1:42" ht="14.95" customHeight="1" thickBot="1" x14ac:dyDescent="0.3">
      <c r="A6" s="553" t="s">
        <v>262</v>
      </c>
      <c r="B6" s="530" t="s">
        <v>260</v>
      </c>
      <c r="C6" s="530" t="s">
        <v>3</v>
      </c>
      <c r="D6" s="531" t="s">
        <v>153</v>
      </c>
      <c r="E6" s="531" t="s">
        <v>8</v>
      </c>
      <c r="F6" s="531">
        <v>15</v>
      </c>
      <c r="G6" s="531">
        <v>12</v>
      </c>
      <c r="H6" s="601">
        <v>0</v>
      </c>
      <c r="I6" s="601">
        <v>0</v>
      </c>
      <c r="J6" s="601">
        <v>3</v>
      </c>
      <c r="K6" s="601">
        <v>0</v>
      </c>
      <c r="L6" s="601">
        <v>0</v>
      </c>
      <c r="M6" s="601">
        <v>0</v>
      </c>
      <c r="N6" s="601">
        <v>0</v>
      </c>
      <c r="O6" s="601">
        <v>0</v>
      </c>
      <c r="P6" s="601">
        <v>0</v>
      </c>
      <c r="Q6" s="601">
        <v>1</v>
      </c>
      <c r="R6" s="601">
        <v>2</v>
      </c>
      <c r="S6" s="555" t="s">
        <v>436</v>
      </c>
      <c r="T6" s="532" t="s">
        <v>296</v>
      </c>
      <c r="U6" s="533" t="s">
        <v>50</v>
      </c>
      <c r="V6" s="562" t="s">
        <v>439</v>
      </c>
      <c r="W6" s="534" t="s">
        <v>384</v>
      </c>
      <c r="X6" s="618">
        <v>1</v>
      </c>
      <c r="Y6" s="618">
        <v>1</v>
      </c>
      <c r="Z6" s="618">
        <v>0</v>
      </c>
      <c r="AA6" s="619">
        <v>0</v>
      </c>
      <c r="AB6" s="618">
        <v>1</v>
      </c>
      <c r="AC6" s="618">
        <v>1</v>
      </c>
      <c r="AD6" s="618">
        <v>0</v>
      </c>
      <c r="AE6" s="619">
        <v>0</v>
      </c>
      <c r="AF6" s="618">
        <v>0</v>
      </c>
      <c r="AG6" s="618">
        <v>0</v>
      </c>
      <c r="AH6" s="618">
        <v>0</v>
      </c>
      <c r="AI6" s="620">
        <v>0</v>
      </c>
      <c r="AJ6" s="618">
        <v>0</v>
      </c>
      <c r="AK6" s="618">
        <v>0</v>
      </c>
      <c r="AL6" s="618">
        <v>0</v>
      </c>
      <c r="AM6" s="620">
        <v>0</v>
      </c>
      <c r="AO6" s="373" t="s">
        <v>66</v>
      </c>
      <c r="AP6" s="437">
        <f>BristolPWRhistlost</f>
        <v>75</v>
      </c>
    </row>
    <row r="7" spans="1:42" ht="14.95" customHeight="1" thickBot="1" x14ac:dyDescent="0.3">
      <c r="A7" s="550" t="s">
        <v>264</v>
      </c>
      <c r="B7" s="541" t="s">
        <v>265</v>
      </c>
      <c r="C7" s="541" t="s">
        <v>0</v>
      </c>
      <c r="D7" s="542" t="s">
        <v>12</v>
      </c>
      <c r="E7" s="542" t="s">
        <v>10</v>
      </c>
      <c r="F7" s="542">
        <v>36</v>
      </c>
      <c r="G7" s="542">
        <v>41</v>
      </c>
      <c r="H7" s="602" t="s">
        <v>42</v>
      </c>
      <c r="I7" s="602" t="s">
        <v>42</v>
      </c>
      <c r="J7" s="602">
        <v>6</v>
      </c>
      <c r="K7" s="602">
        <v>3</v>
      </c>
      <c r="L7" s="602">
        <v>0</v>
      </c>
      <c r="M7" s="602">
        <v>0</v>
      </c>
      <c r="N7" s="602">
        <v>0</v>
      </c>
      <c r="O7" s="602">
        <v>1</v>
      </c>
      <c r="P7" s="602" t="s">
        <v>42</v>
      </c>
      <c r="Q7" s="602" t="s">
        <v>42</v>
      </c>
      <c r="R7" s="602">
        <v>6</v>
      </c>
      <c r="S7" s="557" t="s">
        <v>437</v>
      </c>
      <c r="T7" s="544" t="s">
        <v>294</v>
      </c>
      <c r="U7" s="545" t="s">
        <v>50</v>
      </c>
      <c r="V7" s="613" t="s">
        <v>287</v>
      </c>
      <c r="W7" s="546" t="s">
        <v>288</v>
      </c>
      <c r="X7" s="615">
        <v>1</v>
      </c>
      <c r="Y7" s="615">
        <v>0</v>
      </c>
      <c r="Z7" s="615">
        <v>0</v>
      </c>
      <c r="AA7" s="616">
        <v>1</v>
      </c>
      <c r="AB7" s="615">
        <v>0</v>
      </c>
      <c r="AC7" s="615">
        <v>0</v>
      </c>
      <c r="AD7" s="615">
        <v>0</v>
      </c>
      <c r="AE7" s="616">
        <v>0</v>
      </c>
      <c r="AF7" s="615">
        <v>1</v>
      </c>
      <c r="AG7" s="615">
        <v>0</v>
      </c>
      <c r="AH7" s="615">
        <v>0</v>
      </c>
      <c r="AI7" s="617">
        <v>1</v>
      </c>
      <c r="AJ7" s="615">
        <v>0</v>
      </c>
      <c r="AK7" s="615">
        <v>0</v>
      </c>
      <c r="AL7" s="615">
        <v>0</v>
      </c>
      <c r="AM7" s="617">
        <v>0</v>
      </c>
      <c r="AO7" s="373" t="s">
        <v>193</v>
      </c>
      <c r="AP7" s="437">
        <f>BristolPWRhistPts_For</f>
        <v>4182</v>
      </c>
    </row>
    <row r="8" spans="1:42" ht="14.95" customHeight="1" thickBot="1" x14ac:dyDescent="0.3">
      <c r="A8" s="553" t="s">
        <v>267</v>
      </c>
      <c r="B8" s="530" t="s">
        <v>408</v>
      </c>
      <c r="C8" s="530" t="s">
        <v>4</v>
      </c>
      <c r="D8" s="531" t="s">
        <v>153</v>
      </c>
      <c r="E8" s="531" t="s">
        <v>10</v>
      </c>
      <c r="F8" s="531">
        <v>12</v>
      </c>
      <c r="G8" s="531">
        <v>40</v>
      </c>
      <c r="H8" s="601" t="s">
        <v>42</v>
      </c>
      <c r="I8" s="601" t="s">
        <v>42</v>
      </c>
      <c r="J8" s="601">
        <v>2</v>
      </c>
      <c r="K8" s="601">
        <v>1</v>
      </c>
      <c r="L8" s="601">
        <v>0</v>
      </c>
      <c r="M8" s="601">
        <v>0</v>
      </c>
      <c r="N8" s="601">
        <v>0</v>
      </c>
      <c r="O8" s="601">
        <v>0</v>
      </c>
      <c r="P8" s="601" t="s">
        <v>42</v>
      </c>
      <c r="Q8" s="601" t="s">
        <v>42</v>
      </c>
      <c r="R8" s="601">
        <v>6</v>
      </c>
      <c r="S8" s="642" t="s">
        <v>430</v>
      </c>
      <c r="T8" s="532" t="s">
        <v>287</v>
      </c>
      <c r="U8" s="533" t="s">
        <v>50</v>
      </c>
      <c r="V8" s="562" t="s">
        <v>431</v>
      </c>
      <c r="W8" s="534" t="s">
        <v>410</v>
      </c>
      <c r="X8" s="618">
        <v>1</v>
      </c>
      <c r="Y8" s="618">
        <v>0</v>
      </c>
      <c r="Z8" s="618">
        <v>0</v>
      </c>
      <c r="AA8" s="619">
        <v>1</v>
      </c>
      <c r="AB8" s="618">
        <v>1</v>
      </c>
      <c r="AC8" s="618">
        <v>0</v>
      </c>
      <c r="AD8" s="618">
        <v>0</v>
      </c>
      <c r="AE8" s="619">
        <v>1</v>
      </c>
      <c r="AF8" s="618">
        <v>0</v>
      </c>
      <c r="AG8" s="618">
        <v>0</v>
      </c>
      <c r="AH8" s="618">
        <v>0</v>
      </c>
      <c r="AI8" s="620">
        <v>0</v>
      </c>
      <c r="AJ8" s="618">
        <v>0</v>
      </c>
      <c r="AK8" s="618">
        <v>0</v>
      </c>
      <c r="AL8" s="618">
        <v>0</v>
      </c>
      <c r="AM8" s="620">
        <v>0</v>
      </c>
      <c r="AO8" s="373" t="s">
        <v>194</v>
      </c>
      <c r="AP8" s="437">
        <f>BristolPWRhistPts_Aga</f>
        <v>3561</v>
      </c>
    </row>
    <row r="9" spans="1:42" ht="14.95" customHeight="1" thickBot="1" x14ac:dyDescent="0.35">
      <c r="A9" s="161" t="s">
        <v>157</v>
      </c>
      <c r="B9" s="162" t="s">
        <v>73</v>
      </c>
      <c r="C9" s="147" t="s">
        <v>70</v>
      </c>
      <c r="D9" s="148" t="s">
        <v>12</v>
      </c>
      <c r="E9" s="148" t="s">
        <v>8</v>
      </c>
      <c r="F9" s="148">
        <v>74</v>
      </c>
      <c r="G9" s="148">
        <v>0</v>
      </c>
      <c r="H9" s="453">
        <v>1</v>
      </c>
      <c r="I9" s="453">
        <v>0</v>
      </c>
      <c r="J9" s="453">
        <v>12</v>
      </c>
      <c r="K9" s="453">
        <v>7</v>
      </c>
      <c r="L9" s="453">
        <v>0</v>
      </c>
      <c r="M9" s="453">
        <v>0</v>
      </c>
      <c r="N9" s="453">
        <v>0</v>
      </c>
      <c r="O9" s="453">
        <v>0</v>
      </c>
      <c r="P9" s="453">
        <v>0</v>
      </c>
      <c r="Q9" s="453">
        <v>0</v>
      </c>
      <c r="R9" s="453">
        <v>0</v>
      </c>
      <c r="S9" s="176" t="s">
        <v>353</v>
      </c>
      <c r="T9" s="172" t="s">
        <v>296</v>
      </c>
      <c r="U9" s="164" t="s">
        <v>50</v>
      </c>
      <c r="V9" s="164" t="s">
        <v>290</v>
      </c>
      <c r="W9" s="164" t="s">
        <v>293</v>
      </c>
      <c r="X9" s="164">
        <v>1</v>
      </c>
      <c r="Y9" s="164">
        <v>1</v>
      </c>
      <c r="Z9" s="164">
        <v>0</v>
      </c>
      <c r="AA9" s="165">
        <v>0</v>
      </c>
      <c r="AB9" s="164">
        <v>0</v>
      </c>
      <c r="AC9" s="164">
        <v>0</v>
      </c>
      <c r="AD9" s="164">
        <v>0</v>
      </c>
      <c r="AE9" s="165">
        <v>0</v>
      </c>
      <c r="AF9" s="164">
        <v>1</v>
      </c>
      <c r="AG9" s="164">
        <v>1</v>
      </c>
      <c r="AH9" s="164">
        <v>0</v>
      </c>
      <c r="AI9" s="166">
        <v>0</v>
      </c>
      <c r="AJ9" s="164">
        <v>0</v>
      </c>
      <c r="AK9" s="164">
        <v>0</v>
      </c>
      <c r="AL9" s="164">
        <v>0</v>
      </c>
      <c r="AM9" s="166">
        <v>0</v>
      </c>
    </row>
    <row r="10" spans="1:42" ht="14.95" customHeight="1" thickBot="1" x14ac:dyDescent="0.3">
      <c r="A10" s="154" t="s">
        <v>241</v>
      </c>
      <c r="B10" s="155" t="s">
        <v>73</v>
      </c>
      <c r="C10" s="168" t="s">
        <v>1</v>
      </c>
      <c r="D10" s="169" t="s">
        <v>153</v>
      </c>
      <c r="E10" s="169" t="s">
        <v>10</v>
      </c>
      <c r="F10" s="169">
        <v>12</v>
      </c>
      <c r="G10" s="169">
        <v>33</v>
      </c>
      <c r="H10" s="456">
        <v>0</v>
      </c>
      <c r="I10" s="456">
        <v>0</v>
      </c>
      <c r="J10" s="456">
        <v>2</v>
      </c>
      <c r="K10" s="456">
        <v>1</v>
      </c>
      <c r="L10" s="456">
        <v>0</v>
      </c>
      <c r="M10" s="456">
        <v>0</v>
      </c>
      <c r="N10" s="456">
        <v>2</v>
      </c>
      <c r="O10" s="456">
        <v>0</v>
      </c>
      <c r="P10" s="456">
        <v>1</v>
      </c>
      <c r="Q10" s="456">
        <v>0</v>
      </c>
      <c r="R10" s="456">
        <v>5</v>
      </c>
      <c r="S10" s="175" t="s">
        <v>396</v>
      </c>
      <c r="T10" s="157" t="s">
        <v>285</v>
      </c>
      <c r="U10" s="158" t="s">
        <v>50</v>
      </c>
      <c r="V10" s="158" t="s">
        <v>383</v>
      </c>
      <c r="W10" s="158" t="s">
        <v>380</v>
      </c>
      <c r="X10" s="158">
        <v>1</v>
      </c>
      <c r="Y10" s="158">
        <v>0</v>
      </c>
      <c r="Z10" s="158">
        <v>0</v>
      </c>
      <c r="AA10" s="158">
        <v>1</v>
      </c>
      <c r="AB10" s="158">
        <v>1</v>
      </c>
      <c r="AC10" s="158">
        <v>0</v>
      </c>
      <c r="AD10" s="158">
        <v>0</v>
      </c>
      <c r="AE10" s="158">
        <v>1</v>
      </c>
      <c r="AF10" s="158">
        <v>0</v>
      </c>
      <c r="AG10" s="158">
        <v>0</v>
      </c>
      <c r="AH10" s="158">
        <v>0</v>
      </c>
      <c r="AI10" s="157">
        <v>0</v>
      </c>
      <c r="AJ10" s="158">
        <v>0</v>
      </c>
      <c r="AK10" s="158">
        <v>0</v>
      </c>
      <c r="AL10" s="158">
        <v>0</v>
      </c>
      <c r="AM10" s="157">
        <v>0</v>
      </c>
    </row>
    <row r="11" spans="1:42" ht="14.95" customHeight="1" thickBot="1" x14ac:dyDescent="0.3">
      <c r="A11" s="161" t="s">
        <v>242</v>
      </c>
      <c r="B11" s="162" t="s">
        <v>73</v>
      </c>
      <c r="C11" s="147" t="s">
        <v>100</v>
      </c>
      <c r="D11" s="148" t="s">
        <v>12</v>
      </c>
      <c r="E11" s="148" t="s">
        <v>10</v>
      </c>
      <c r="F11" s="148">
        <v>19</v>
      </c>
      <c r="G11" s="148">
        <v>45</v>
      </c>
      <c r="H11" s="453">
        <v>0</v>
      </c>
      <c r="I11" s="453">
        <v>0</v>
      </c>
      <c r="J11" s="453">
        <v>3</v>
      </c>
      <c r="K11" s="453">
        <v>2</v>
      </c>
      <c r="L11" s="453">
        <v>0</v>
      </c>
      <c r="M11" s="453">
        <v>0</v>
      </c>
      <c r="N11" s="453">
        <v>2</v>
      </c>
      <c r="O11" s="453">
        <v>0</v>
      </c>
      <c r="P11" s="453">
        <v>1</v>
      </c>
      <c r="Q11" s="453">
        <v>0</v>
      </c>
      <c r="R11" s="453">
        <v>7</v>
      </c>
      <c r="S11" s="171" t="s">
        <v>454</v>
      </c>
      <c r="T11" s="172" t="s">
        <v>282</v>
      </c>
      <c r="U11" s="164" t="s">
        <v>50</v>
      </c>
      <c r="V11" s="164" t="s">
        <v>447</v>
      </c>
      <c r="W11" s="166" t="s">
        <v>384</v>
      </c>
      <c r="X11" s="164">
        <v>1</v>
      </c>
      <c r="Y11" s="164">
        <v>0</v>
      </c>
      <c r="Z11" s="164">
        <v>0</v>
      </c>
      <c r="AA11" s="164">
        <v>1</v>
      </c>
      <c r="AB11" s="164">
        <v>0</v>
      </c>
      <c r="AC11" s="164">
        <v>0</v>
      </c>
      <c r="AD11" s="164">
        <v>0</v>
      </c>
      <c r="AE11" s="164">
        <v>0</v>
      </c>
      <c r="AF11" s="164">
        <v>1</v>
      </c>
      <c r="AG11" s="164">
        <v>0</v>
      </c>
      <c r="AH11" s="164">
        <v>0</v>
      </c>
      <c r="AI11" s="172">
        <v>1</v>
      </c>
      <c r="AJ11" s="164">
        <v>0</v>
      </c>
      <c r="AK11" s="164">
        <v>0</v>
      </c>
      <c r="AL11" s="164">
        <v>0</v>
      </c>
      <c r="AM11" s="172">
        <v>0</v>
      </c>
    </row>
    <row r="12" spans="1:42" ht="14.95" customHeight="1" thickBot="1" x14ac:dyDescent="0.3">
      <c r="A12" s="154" t="s">
        <v>159</v>
      </c>
      <c r="B12" s="155" t="s">
        <v>73</v>
      </c>
      <c r="C12" s="152" t="s">
        <v>63</v>
      </c>
      <c r="D12" s="153" t="s">
        <v>154</v>
      </c>
      <c r="E12" s="153" t="s">
        <v>10</v>
      </c>
      <c r="F12" s="153">
        <v>14</v>
      </c>
      <c r="G12" s="153">
        <v>54</v>
      </c>
      <c r="H12" s="454">
        <v>0</v>
      </c>
      <c r="I12" s="454">
        <v>0</v>
      </c>
      <c r="J12" s="454">
        <v>2</v>
      </c>
      <c r="K12" s="454">
        <v>2</v>
      </c>
      <c r="L12" s="454">
        <v>0</v>
      </c>
      <c r="M12" s="454">
        <v>0</v>
      </c>
      <c r="N12" s="454">
        <v>0</v>
      </c>
      <c r="O12" s="454">
        <v>0</v>
      </c>
      <c r="P12" s="454">
        <v>1</v>
      </c>
      <c r="Q12" s="454">
        <v>0</v>
      </c>
      <c r="R12" s="454">
        <v>8</v>
      </c>
      <c r="S12" s="175" t="s">
        <v>482</v>
      </c>
      <c r="T12" s="157" t="s">
        <v>471</v>
      </c>
      <c r="U12" s="158" t="s">
        <v>472</v>
      </c>
      <c r="V12" s="158" t="s">
        <v>285</v>
      </c>
      <c r="W12" s="160" t="s">
        <v>296</v>
      </c>
      <c r="X12" s="158">
        <v>1</v>
      </c>
      <c r="Y12" s="158">
        <v>0</v>
      </c>
      <c r="Z12" s="158">
        <v>0</v>
      </c>
      <c r="AA12" s="158">
        <v>1</v>
      </c>
      <c r="AB12" s="158">
        <v>1</v>
      </c>
      <c r="AC12" s="158">
        <v>0</v>
      </c>
      <c r="AD12" s="158">
        <v>0</v>
      </c>
      <c r="AE12" s="158">
        <v>1</v>
      </c>
      <c r="AF12" s="158">
        <v>0</v>
      </c>
      <c r="AG12" s="158">
        <v>0</v>
      </c>
      <c r="AH12" s="158">
        <v>0</v>
      </c>
      <c r="AI12" s="157">
        <v>0</v>
      </c>
      <c r="AJ12" s="158">
        <v>0</v>
      </c>
      <c r="AK12" s="158">
        <v>0</v>
      </c>
      <c r="AL12" s="158">
        <v>0</v>
      </c>
      <c r="AM12" s="157">
        <v>0</v>
      </c>
    </row>
    <row r="13" spans="1:42" ht="14.95" customHeight="1" thickBot="1" x14ac:dyDescent="0.3">
      <c r="A13" s="161" t="s">
        <v>163</v>
      </c>
      <c r="B13" s="162" t="s">
        <v>73</v>
      </c>
      <c r="C13" s="147" t="s">
        <v>4</v>
      </c>
      <c r="D13" s="148" t="s">
        <v>12</v>
      </c>
      <c r="E13" s="148" t="s">
        <v>10</v>
      </c>
      <c r="F13" s="148">
        <v>10</v>
      </c>
      <c r="G13" s="148">
        <v>41</v>
      </c>
      <c r="H13" s="453">
        <v>0</v>
      </c>
      <c r="I13" s="453">
        <v>0</v>
      </c>
      <c r="J13" s="453">
        <v>2</v>
      </c>
      <c r="K13" s="453">
        <v>0</v>
      </c>
      <c r="L13" s="453">
        <v>0</v>
      </c>
      <c r="M13" s="453">
        <v>0</v>
      </c>
      <c r="N13" s="453">
        <v>0</v>
      </c>
      <c r="O13" s="453">
        <v>0</v>
      </c>
      <c r="P13" s="453">
        <v>1</v>
      </c>
      <c r="Q13" s="453">
        <v>0</v>
      </c>
      <c r="R13" s="453">
        <v>7</v>
      </c>
      <c r="S13" s="171" t="s">
        <v>494</v>
      </c>
      <c r="T13" s="172" t="s">
        <v>324</v>
      </c>
      <c r="U13" s="164" t="s">
        <v>50</v>
      </c>
      <c r="V13" s="164" t="s">
        <v>127</v>
      </c>
      <c r="W13" s="166" t="s">
        <v>290</v>
      </c>
      <c r="X13" s="164">
        <v>1</v>
      </c>
      <c r="Y13" s="164">
        <v>0</v>
      </c>
      <c r="Z13" s="164">
        <v>0</v>
      </c>
      <c r="AA13" s="164">
        <v>1</v>
      </c>
      <c r="AB13" s="164">
        <v>0</v>
      </c>
      <c r="AC13" s="164">
        <v>0</v>
      </c>
      <c r="AD13" s="164">
        <v>0</v>
      </c>
      <c r="AE13" s="164">
        <v>0</v>
      </c>
      <c r="AF13" s="164">
        <v>1</v>
      </c>
      <c r="AG13" s="164">
        <v>0</v>
      </c>
      <c r="AH13" s="164">
        <v>0</v>
      </c>
      <c r="AI13" s="172">
        <v>1</v>
      </c>
      <c r="AJ13" s="164">
        <v>0</v>
      </c>
      <c r="AK13" s="164">
        <v>0</v>
      </c>
      <c r="AL13" s="164">
        <v>0</v>
      </c>
      <c r="AM13" s="172">
        <v>0</v>
      </c>
    </row>
    <row r="14" spans="1:42" ht="14.95" customHeight="1" thickBot="1" x14ac:dyDescent="0.35">
      <c r="A14" s="154" t="s">
        <v>161</v>
      </c>
      <c r="B14" s="155" t="s">
        <v>73</v>
      </c>
      <c r="C14" s="152" t="s">
        <v>540</v>
      </c>
      <c r="D14" s="153" t="s">
        <v>153</v>
      </c>
      <c r="E14" s="153" t="s">
        <v>10</v>
      </c>
      <c r="F14" s="153">
        <v>19</v>
      </c>
      <c r="G14" s="153">
        <v>31</v>
      </c>
      <c r="H14" s="454">
        <v>0</v>
      </c>
      <c r="I14" s="454">
        <v>0</v>
      </c>
      <c r="J14" s="454">
        <v>3</v>
      </c>
      <c r="K14" s="454">
        <v>2</v>
      </c>
      <c r="L14" s="454">
        <v>0</v>
      </c>
      <c r="M14" s="454">
        <v>0</v>
      </c>
      <c r="N14" s="454">
        <v>0</v>
      </c>
      <c r="O14" s="454">
        <v>0</v>
      </c>
      <c r="P14" s="454">
        <v>1</v>
      </c>
      <c r="Q14" s="454">
        <v>0</v>
      </c>
      <c r="R14" s="454">
        <v>4</v>
      </c>
      <c r="S14" s="662" t="s">
        <v>391</v>
      </c>
      <c r="T14" s="342" t="s">
        <v>285</v>
      </c>
      <c r="U14" s="343" t="s">
        <v>50</v>
      </c>
      <c r="V14" s="158" t="s">
        <v>284</v>
      </c>
      <c r="W14" s="160" t="s">
        <v>296</v>
      </c>
      <c r="X14" s="158">
        <v>1</v>
      </c>
      <c r="Y14" s="158">
        <v>0</v>
      </c>
      <c r="Z14" s="158">
        <v>0</v>
      </c>
      <c r="AA14" s="158">
        <v>1</v>
      </c>
      <c r="AB14" s="158">
        <v>1</v>
      </c>
      <c r="AC14" s="158">
        <v>0</v>
      </c>
      <c r="AD14" s="158">
        <v>0</v>
      </c>
      <c r="AE14" s="158">
        <v>1</v>
      </c>
      <c r="AF14" s="158">
        <v>0</v>
      </c>
      <c r="AG14" s="158">
        <v>0</v>
      </c>
      <c r="AH14" s="158">
        <v>0</v>
      </c>
      <c r="AI14" s="157">
        <v>0</v>
      </c>
      <c r="AJ14" s="158">
        <v>0</v>
      </c>
      <c r="AK14" s="158">
        <v>0</v>
      </c>
      <c r="AL14" s="158">
        <v>0</v>
      </c>
      <c r="AM14" s="157">
        <v>0</v>
      </c>
    </row>
    <row r="15" spans="1:42" ht="14.95" customHeight="1" thickBot="1" x14ac:dyDescent="0.3">
      <c r="A15" s="161" t="s">
        <v>245</v>
      </c>
      <c r="B15" s="162" t="s">
        <v>73</v>
      </c>
      <c r="C15" s="147" t="s">
        <v>0</v>
      </c>
      <c r="D15" s="148" t="s">
        <v>164</v>
      </c>
      <c r="E15" s="148" t="s">
        <v>10</v>
      </c>
      <c r="F15" s="148">
        <v>12</v>
      </c>
      <c r="G15" s="148">
        <v>38</v>
      </c>
      <c r="H15" s="453">
        <v>0</v>
      </c>
      <c r="I15" s="453">
        <v>0</v>
      </c>
      <c r="J15" s="453">
        <v>2</v>
      </c>
      <c r="K15" s="453">
        <v>1</v>
      </c>
      <c r="L15" s="453">
        <v>0</v>
      </c>
      <c r="M15" s="453">
        <v>0</v>
      </c>
      <c r="N15" s="453">
        <v>3</v>
      </c>
      <c r="O15" s="453">
        <v>0</v>
      </c>
      <c r="P15" s="453">
        <v>1</v>
      </c>
      <c r="Q15" s="453">
        <v>0</v>
      </c>
      <c r="R15" s="453">
        <v>6</v>
      </c>
      <c r="S15" s="171" t="s">
        <v>364</v>
      </c>
      <c r="T15" s="172" t="s">
        <v>537</v>
      </c>
      <c r="U15" s="164" t="s">
        <v>289</v>
      </c>
      <c r="V15" s="164" t="s">
        <v>538</v>
      </c>
      <c r="W15" s="166" t="s">
        <v>296</v>
      </c>
      <c r="X15" s="164">
        <v>1</v>
      </c>
      <c r="Y15" s="164">
        <v>0</v>
      </c>
      <c r="Z15" s="164">
        <v>0</v>
      </c>
      <c r="AA15" s="164">
        <v>1</v>
      </c>
      <c r="AB15" s="164">
        <v>0</v>
      </c>
      <c r="AC15" s="164">
        <v>0</v>
      </c>
      <c r="AD15" s="164">
        <v>0</v>
      </c>
      <c r="AE15" s="164">
        <v>0</v>
      </c>
      <c r="AF15" s="164">
        <v>1</v>
      </c>
      <c r="AG15" s="164">
        <v>0</v>
      </c>
      <c r="AH15" s="164">
        <v>0</v>
      </c>
      <c r="AI15" s="172">
        <v>1</v>
      </c>
      <c r="AJ15" s="164">
        <v>0</v>
      </c>
      <c r="AK15" s="164">
        <v>0</v>
      </c>
      <c r="AL15" s="164">
        <v>0</v>
      </c>
      <c r="AM15" s="172">
        <v>0</v>
      </c>
    </row>
    <row r="16" spans="1:42" ht="14.95" customHeight="1" thickBot="1" x14ac:dyDescent="0.3">
      <c r="A16" s="154" t="s">
        <v>508</v>
      </c>
      <c r="B16" s="155" t="s">
        <v>73</v>
      </c>
      <c r="C16" s="152" t="s">
        <v>3</v>
      </c>
      <c r="D16" s="153" t="s">
        <v>153</v>
      </c>
      <c r="E16" s="153" t="s">
        <v>8</v>
      </c>
      <c r="F16" s="153">
        <v>30</v>
      </c>
      <c r="G16" s="153">
        <v>29</v>
      </c>
      <c r="H16" s="454">
        <v>1</v>
      </c>
      <c r="I16" s="454">
        <v>0</v>
      </c>
      <c r="J16" s="454">
        <v>5</v>
      </c>
      <c r="K16" s="454">
        <v>1</v>
      </c>
      <c r="L16" s="454">
        <v>0</v>
      </c>
      <c r="M16" s="454">
        <v>1</v>
      </c>
      <c r="N16" s="454">
        <v>1</v>
      </c>
      <c r="O16" s="454">
        <v>0</v>
      </c>
      <c r="P16" s="454">
        <v>1</v>
      </c>
      <c r="Q16" s="454">
        <v>1</v>
      </c>
      <c r="R16" s="454">
        <v>5</v>
      </c>
      <c r="S16" s="170" t="s">
        <v>566</v>
      </c>
      <c r="T16" s="157" t="s">
        <v>294</v>
      </c>
      <c r="U16" s="158" t="s">
        <v>50</v>
      </c>
      <c r="V16" s="158" t="s">
        <v>286</v>
      </c>
      <c r="W16" s="160" t="s">
        <v>380</v>
      </c>
      <c r="X16" s="158">
        <v>1</v>
      </c>
      <c r="Y16" s="158">
        <v>1</v>
      </c>
      <c r="Z16" s="158">
        <v>0</v>
      </c>
      <c r="AA16" s="158">
        <v>0</v>
      </c>
      <c r="AB16" s="158">
        <v>1</v>
      </c>
      <c r="AC16" s="158">
        <v>1</v>
      </c>
      <c r="AD16" s="158">
        <v>0</v>
      </c>
      <c r="AE16" s="158">
        <v>0</v>
      </c>
      <c r="AF16" s="158">
        <v>0</v>
      </c>
      <c r="AG16" s="158">
        <v>0</v>
      </c>
      <c r="AH16" s="158">
        <v>0</v>
      </c>
      <c r="AI16" s="157">
        <v>0</v>
      </c>
      <c r="AJ16" s="158">
        <v>0</v>
      </c>
      <c r="AK16" s="158">
        <v>0</v>
      </c>
      <c r="AL16" s="158">
        <v>0</v>
      </c>
      <c r="AM16" s="157">
        <v>0</v>
      </c>
    </row>
    <row r="17" spans="1:39" ht="14.95" customHeight="1" thickBot="1" x14ac:dyDescent="0.35">
      <c r="A17" s="154" t="s">
        <v>509</v>
      </c>
      <c r="B17" s="155" t="s">
        <v>73</v>
      </c>
      <c r="C17" s="152" t="s">
        <v>100</v>
      </c>
      <c r="D17" s="153" t="s">
        <v>153</v>
      </c>
      <c r="E17" s="153" t="s">
        <v>9</v>
      </c>
      <c r="F17" s="153">
        <v>26</v>
      </c>
      <c r="G17" s="153">
        <v>26</v>
      </c>
      <c r="H17" s="454">
        <v>1</v>
      </c>
      <c r="I17" s="454">
        <v>0</v>
      </c>
      <c r="J17" s="454">
        <v>4</v>
      </c>
      <c r="K17" s="454">
        <v>3</v>
      </c>
      <c r="L17" s="454">
        <v>0</v>
      </c>
      <c r="M17" s="454">
        <v>0</v>
      </c>
      <c r="N17" s="454">
        <v>0</v>
      </c>
      <c r="O17" s="454">
        <v>0</v>
      </c>
      <c r="P17" s="454">
        <v>1</v>
      </c>
      <c r="Q17" s="454">
        <v>0</v>
      </c>
      <c r="R17" s="454">
        <v>4</v>
      </c>
      <c r="S17" s="348" t="s">
        <v>572</v>
      </c>
      <c r="T17" s="157" t="s">
        <v>573</v>
      </c>
      <c r="U17" s="158" t="s">
        <v>50</v>
      </c>
      <c r="V17" s="158" t="s">
        <v>438</v>
      </c>
      <c r="W17" s="160" t="s">
        <v>286</v>
      </c>
      <c r="X17" s="158">
        <v>1</v>
      </c>
      <c r="Y17" s="158">
        <v>0</v>
      </c>
      <c r="Z17" s="158">
        <v>1</v>
      </c>
      <c r="AA17" s="158">
        <v>0</v>
      </c>
      <c r="AB17" s="158">
        <v>1</v>
      </c>
      <c r="AC17" s="158">
        <v>0</v>
      </c>
      <c r="AD17" s="158">
        <v>1</v>
      </c>
      <c r="AE17" s="158">
        <v>0</v>
      </c>
      <c r="AF17" s="158">
        <v>0</v>
      </c>
      <c r="AG17" s="158">
        <v>0</v>
      </c>
      <c r="AH17" s="158">
        <v>0</v>
      </c>
      <c r="AI17" s="157">
        <v>0</v>
      </c>
      <c r="AJ17" s="158">
        <v>0</v>
      </c>
      <c r="AK17" s="158">
        <v>0</v>
      </c>
      <c r="AL17" s="158">
        <v>0</v>
      </c>
      <c r="AM17" s="157">
        <v>0</v>
      </c>
    </row>
    <row r="18" spans="1:39" ht="14.95" customHeight="1" thickBot="1" x14ac:dyDescent="0.35">
      <c r="A18" s="161" t="s">
        <v>512</v>
      </c>
      <c r="B18" s="162" t="s">
        <v>73</v>
      </c>
      <c r="C18" s="147" t="s">
        <v>1</v>
      </c>
      <c r="D18" s="148" t="s">
        <v>12</v>
      </c>
      <c r="E18" s="148" t="s">
        <v>10</v>
      </c>
      <c r="F18" s="148">
        <v>33</v>
      </c>
      <c r="G18" s="148">
        <v>36</v>
      </c>
      <c r="H18" s="453">
        <v>1</v>
      </c>
      <c r="I18" s="453">
        <v>1</v>
      </c>
      <c r="J18" s="453">
        <v>5</v>
      </c>
      <c r="K18" s="453">
        <v>4</v>
      </c>
      <c r="L18" s="453">
        <v>0</v>
      </c>
      <c r="M18" s="453">
        <v>0</v>
      </c>
      <c r="N18" s="453">
        <v>0</v>
      </c>
      <c r="O18" s="453">
        <v>0</v>
      </c>
      <c r="P18" s="453">
        <v>1</v>
      </c>
      <c r="Q18" s="453">
        <v>0</v>
      </c>
      <c r="R18" s="453">
        <v>5</v>
      </c>
      <c r="S18" s="179" t="s">
        <v>605</v>
      </c>
      <c r="T18" s="172" t="s">
        <v>294</v>
      </c>
      <c r="U18" s="164" t="s">
        <v>50</v>
      </c>
      <c r="V18" s="164" t="s">
        <v>292</v>
      </c>
      <c r="W18" s="166" t="s">
        <v>286</v>
      </c>
      <c r="X18" s="164">
        <v>1</v>
      </c>
      <c r="Y18" s="164">
        <v>0</v>
      </c>
      <c r="Z18" s="164">
        <v>0</v>
      </c>
      <c r="AA18" s="164">
        <v>1</v>
      </c>
      <c r="AB18" s="164">
        <v>0</v>
      </c>
      <c r="AC18" s="164">
        <v>0</v>
      </c>
      <c r="AD18" s="164">
        <v>0</v>
      </c>
      <c r="AE18" s="164">
        <v>0</v>
      </c>
      <c r="AF18" s="164">
        <v>1</v>
      </c>
      <c r="AG18" s="164">
        <v>0</v>
      </c>
      <c r="AH18" s="164">
        <v>0</v>
      </c>
      <c r="AI18" s="172">
        <v>1</v>
      </c>
      <c r="AJ18" s="164">
        <v>0</v>
      </c>
      <c r="AK18" s="164">
        <v>0</v>
      </c>
      <c r="AL18" s="164">
        <v>0</v>
      </c>
      <c r="AM18" s="172">
        <v>0</v>
      </c>
    </row>
    <row r="19" spans="1:39" ht="14.95" customHeight="1" thickBot="1" x14ac:dyDescent="0.3">
      <c r="A19" s="178" t="s">
        <v>514</v>
      </c>
      <c r="B19" s="162" t="s">
        <v>73</v>
      </c>
      <c r="C19" s="147" t="s">
        <v>540</v>
      </c>
      <c r="D19" s="148" t="s">
        <v>12</v>
      </c>
      <c r="E19" s="148" t="s">
        <v>8</v>
      </c>
      <c r="F19" s="148">
        <v>24</v>
      </c>
      <c r="G19" s="148">
        <v>21</v>
      </c>
      <c r="H19" s="453">
        <v>1</v>
      </c>
      <c r="I19" s="453">
        <v>0</v>
      </c>
      <c r="J19" s="453">
        <v>4</v>
      </c>
      <c r="K19" s="453">
        <v>2</v>
      </c>
      <c r="L19" s="453">
        <v>0</v>
      </c>
      <c r="M19" s="453">
        <v>0</v>
      </c>
      <c r="N19" s="453">
        <v>1</v>
      </c>
      <c r="O19" s="453">
        <v>0</v>
      </c>
      <c r="P19" s="453">
        <v>0</v>
      </c>
      <c r="Q19" s="453">
        <v>1</v>
      </c>
      <c r="R19" s="453">
        <v>3</v>
      </c>
      <c r="S19" s="337" t="s">
        <v>622</v>
      </c>
      <c r="T19" s="172" t="s">
        <v>573</v>
      </c>
      <c r="U19" s="164" t="s">
        <v>296</v>
      </c>
      <c r="V19" s="164" t="s">
        <v>560</v>
      </c>
      <c r="W19" s="166" t="s">
        <v>287</v>
      </c>
      <c r="X19" s="164">
        <v>1</v>
      </c>
      <c r="Y19" s="164">
        <v>1</v>
      </c>
      <c r="Z19" s="164">
        <v>0</v>
      </c>
      <c r="AA19" s="164">
        <v>0</v>
      </c>
      <c r="AB19" s="164">
        <v>0</v>
      </c>
      <c r="AC19" s="164">
        <v>0</v>
      </c>
      <c r="AD19" s="164">
        <v>0</v>
      </c>
      <c r="AE19" s="164">
        <v>0</v>
      </c>
      <c r="AF19" s="164">
        <v>1</v>
      </c>
      <c r="AG19" s="164">
        <v>1</v>
      </c>
      <c r="AH19" s="164">
        <v>0</v>
      </c>
      <c r="AI19" s="172">
        <v>0</v>
      </c>
      <c r="AJ19" s="164">
        <v>0</v>
      </c>
      <c r="AK19" s="164">
        <v>0</v>
      </c>
      <c r="AL19" s="164">
        <v>0</v>
      </c>
      <c r="AM19" s="172">
        <v>0</v>
      </c>
    </row>
    <row r="20" spans="1:39" ht="14.95" customHeight="1" thickBot="1" x14ac:dyDescent="0.35">
      <c r="A20" s="177" t="s">
        <v>516</v>
      </c>
      <c r="B20" s="155" t="s">
        <v>73</v>
      </c>
      <c r="C20" s="152" t="s">
        <v>70</v>
      </c>
      <c r="D20" s="153" t="s">
        <v>153</v>
      </c>
      <c r="E20" s="153" t="s">
        <v>8</v>
      </c>
      <c r="F20" s="153">
        <v>68</v>
      </c>
      <c r="G20" s="153">
        <v>0</v>
      </c>
      <c r="H20" s="454">
        <v>1</v>
      </c>
      <c r="I20" s="454">
        <v>0</v>
      </c>
      <c r="J20" s="454">
        <v>10</v>
      </c>
      <c r="K20" s="454">
        <v>9</v>
      </c>
      <c r="L20" s="454">
        <v>0</v>
      </c>
      <c r="M20" s="454">
        <v>0</v>
      </c>
      <c r="N20" s="454">
        <v>0</v>
      </c>
      <c r="O20" s="454">
        <v>0</v>
      </c>
      <c r="P20" s="454">
        <v>0</v>
      </c>
      <c r="Q20" s="454">
        <v>0</v>
      </c>
      <c r="R20" s="454">
        <v>0</v>
      </c>
      <c r="S20" s="156" t="s">
        <v>353</v>
      </c>
      <c r="T20" s="157" t="s">
        <v>326</v>
      </c>
      <c r="U20" s="158" t="s">
        <v>50</v>
      </c>
      <c r="V20" s="158" t="s">
        <v>294</v>
      </c>
      <c r="W20" s="160" t="s">
        <v>292</v>
      </c>
      <c r="X20" s="158">
        <v>1</v>
      </c>
      <c r="Y20" s="158">
        <v>1</v>
      </c>
      <c r="Z20" s="158">
        <v>0</v>
      </c>
      <c r="AA20" s="158">
        <v>0</v>
      </c>
      <c r="AB20" s="158">
        <v>1</v>
      </c>
      <c r="AC20" s="158">
        <v>1</v>
      </c>
      <c r="AD20" s="158">
        <v>0</v>
      </c>
      <c r="AE20" s="158">
        <v>0</v>
      </c>
      <c r="AF20" s="158">
        <v>0</v>
      </c>
      <c r="AG20" s="158">
        <v>0</v>
      </c>
      <c r="AH20" s="158">
        <v>0</v>
      </c>
      <c r="AI20" s="157">
        <v>0</v>
      </c>
      <c r="AJ20" s="158">
        <v>0</v>
      </c>
      <c r="AK20" s="158">
        <v>0</v>
      </c>
      <c r="AL20" s="158">
        <v>0</v>
      </c>
      <c r="AM20" s="157">
        <v>0</v>
      </c>
    </row>
    <row r="21" spans="1:39" ht="14.95" customHeight="1" thickBot="1" x14ac:dyDescent="0.3">
      <c r="A21" s="178" t="s">
        <v>670</v>
      </c>
      <c r="B21" s="162" t="s">
        <v>73</v>
      </c>
      <c r="C21" s="147" t="s">
        <v>3</v>
      </c>
      <c r="D21" s="148" t="s">
        <v>12</v>
      </c>
      <c r="E21" s="148" t="s">
        <v>10</v>
      </c>
      <c r="F21" s="148">
        <v>7</v>
      </c>
      <c r="G21" s="148">
        <v>25</v>
      </c>
      <c r="H21" s="453">
        <v>0</v>
      </c>
      <c r="I21" s="453">
        <v>0</v>
      </c>
      <c r="J21" s="453">
        <v>1</v>
      </c>
      <c r="K21" s="453">
        <v>1</v>
      </c>
      <c r="L21" s="453">
        <v>0</v>
      </c>
      <c r="M21" s="453">
        <v>0</v>
      </c>
      <c r="N21" s="453">
        <v>0</v>
      </c>
      <c r="O21" s="453">
        <v>0</v>
      </c>
      <c r="P21" s="453">
        <v>0</v>
      </c>
      <c r="Q21" s="453">
        <v>0</v>
      </c>
      <c r="R21" s="453">
        <v>3</v>
      </c>
      <c r="S21" s="171" t="s">
        <v>675</v>
      </c>
      <c r="T21" s="172" t="s">
        <v>294</v>
      </c>
      <c r="U21" s="164" t="s">
        <v>50</v>
      </c>
      <c r="V21" s="164" t="s">
        <v>656</v>
      </c>
      <c r="W21" s="166" t="s">
        <v>657</v>
      </c>
      <c r="X21" s="164">
        <v>1</v>
      </c>
      <c r="Y21" s="164">
        <v>0</v>
      </c>
      <c r="Z21" s="164">
        <v>0</v>
      </c>
      <c r="AA21" s="164">
        <v>1</v>
      </c>
      <c r="AB21" s="164">
        <v>0</v>
      </c>
      <c r="AC21" s="164">
        <v>0</v>
      </c>
      <c r="AD21" s="164">
        <v>0</v>
      </c>
      <c r="AE21" s="164">
        <v>0</v>
      </c>
      <c r="AF21" s="164">
        <v>1</v>
      </c>
      <c r="AG21" s="164">
        <v>0</v>
      </c>
      <c r="AH21" s="164">
        <v>0</v>
      </c>
      <c r="AI21" s="172">
        <v>1</v>
      </c>
      <c r="AJ21" s="164">
        <v>0</v>
      </c>
      <c r="AK21" s="164">
        <v>0</v>
      </c>
      <c r="AL21" s="164">
        <v>0</v>
      </c>
      <c r="AM21" s="172">
        <v>0</v>
      </c>
    </row>
    <row r="22" spans="1:39" ht="14.95" customHeight="1" thickBot="1" x14ac:dyDescent="0.3">
      <c r="A22" s="177" t="s">
        <v>246</v>
      </c>
      <c r="B22" s="155" t="s">
        <v>73</v>
      </c>
      <c r="C22" s="152" t="s">
        <v>0</v>
      </c>
      <c r="D22" s="153" t="s">
        <v>251</v>
      </c>
      <c r="E22" s="153"/>
      <c r="F22" s="153"/>
      <c r="G22" s="153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175"/>
      <c r="T22" s="157"/>
      <c r="U22" s="158"/>
      <c r="V22" s="158"/>
      <c r="W22" s="160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7"/>
      <c r="AJ22" s="158"/>
      <c r="AK22" s="158"/>
      <c r="AL22" s="158"/>
      <c r="AM22" s="157"/>
    </row>
    <row r="23" spans="1:39" ht="14.95" customHeight="1" thickBot="1" x14ac:dyDescent="0.3">
      <c r="A23" s="177" t="s">
        <v>127</v>
      </c>
      <c r="B23" s="155" t="s">
        <v>73</v>
      </c>
      <c r="C23" s="152" t="s">
        <v>4</v>
      </c>
      <c r="D23" s="153" t="s">
        <v>153</v>
      </c>
      <c r="E23" s="153"/>
      <c r="F23" s="153"/>
      <c r="G23" s="153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367"/>
      <c r="T23" s="157"/>
      <c r="U23" s="158"/>
      <c r="V23" s="158"/>
      <c r="W23" s="160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7"/>
      <c r="AJ23" s="158"/>
      <c r="AK23" s="158"/>
      <c r="AL23" s="158"/>
      <c r="AM23" s="157"/>
    </row>
    <row r="24" spans="1:39" ht="14.95" customHeight="1" thickBot="1" x14ac:dyDescent="0.35">
      <c r="A24" s="178" t="s">
        <v>127</v>
      </c>
      <c r="B24" s="162" t="s">
        <v>73</v>
      </c>
      <c r="C24" s="147" t="s">
        <v>63</v>
      </c>
      <c r="D24" s="148" t="s">
        <v>12</v>
      </c>
      <c r="E24" s="148"/>
      <c r="F24" s="148"/>
      <c r="G24" s="148"/>
      <c r="H24" s="453"/>
      <c r="I24" s="453"/>
      <c r="J24" s="453"/>
      <c r="K24" s="453"/>
      <c r="L24" s="453"/>
      <c r="M24" s="453"/>
      <c r="N24" s="453"/>
      <c r="O24" s="453"/>
      <c r="P24" s="453"/>
      <c r="Q24" s="453"/>
      <c r="R24" s="453"/>
      <c r="S24" s="176"/>
      <c r="T24" s="172"/>
      <c r="U24" s="164"/>
      <c r="V24" s="164"/>
      <c r="W24" s="166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72"/>
      <c r="AJ24" s="164"/>
      <c r="AK24" s="164"/>
      <c r="AL24" s="164"/>
      <c r="AM24" s="172"/>
    </row>
    <row r="25" spans="1:39" ht="14.95" customHeight="1" thickBot="1" x14ac:dyDescent="0.35">
      <c r="A25" s="502" t="s">
        <v>249</v>
      </c>
      <c r="B25" s="503" t="s">
        <v>128</v>
      </c>
      <c r="C25" s="504"/>
      <c r="D25" s="505"/>
      <c r="E25" s="505"/>
      <c r="F25" s="505"/>
      <c r="G25" s="505"/>
      <c r="H25" s="506"/>
      <c r="I25" s="506"/>
      <c r="J25" s="506"/>
      <c r="K25" s="506"/>
      <c r="L25" s="506"/>
      <c r="M25" s="506"/>
      <c r="N25" s="506"/>
      <c r="O25" s="506"/>
      <c r="P25" s="506"/>
      <c r="Q25" s="506"/>
      <c r="R25" s="506"/>
      <c r="S25" s="507"/>
      <c r="T25" s="508"/>
      <c r="U25" s="509"/>
      <c r="V25" s="509"/>
      <c r="W25" s="510"/>
      <c r="X25" s="509"/>
      <c r="Y25" s="509"/>
      <c r="Z25" s="509"/>
      <c r="AA25" s="509"/>
      <c r="AB25" s="509"/>
      <c r="AC25" s="509"/>
      <c r="AD25" s="509"/>
      <c r="AE25" s="509"/>
      <c r="AF25" s="509"/>
      <c r="AG25" s="509"/>
      <c r="AH25" s="509"/>
      <c r="AI25" s="508"/>
      <c r="AJ25" s="509"/>
      <c r="AK25" s="509"/>
      <c r="AL25" s="509"/>
      <c r="AM25" s="508"/>
    </row>
    <row r="26" spans="1:39" ht="14.95" customHeight="1" thickBot="1" x14ac:dyDescent="0.3">
      <c r="A26" s="502" t="s">
        <v>250</v>
      </c>
      <c r="B26" s="503" t="s">
        <v>247</v>
      </c>
      <c r="C26" s="504"/>
      <c r="D26" s="505"/>
      <c r="E26" s="505"/>
      <c r="F26" s="505"/>
      <c r="G26" s="505"/>
      <c r="H26" s="506"/>
      <c r="I26" s="506"/>
      <c r="J26" s="506"/>
      <c r="K26" s="506"/>
      <c r="L26" s="506"/>
      <c r="M26" s="506"/>
      <c r="N26" s="506"/>
      <c r="O26" s="506"/>
      <c r="P26" s="506"/>
      <c r="Q26" s="506"/>
      <c r="R26" s="506"/>
      <c r="S26" s="511"/>
      <c r="T26" s="508"/>
      <c r="U26" s="509"/>
      <c r="V26" s="509"/>
      <c r="W26" s="510"/>
      <c r="X26" s="509"/>
      <c r="Y26" s="509"/>
      <c r="Z26" s="509"/>
      <c r="AA26" s="509"/>
      <c r="AB26" s="509"/>
      <c r="AC26" s="509"/>
      <c r="AD26" s="509"/>
      <c r="AE26" s="509"/>
      <c r="AF26" s="509"/>
      <c r="AG26" s="509"/>
      <c r="AH26" s="509"/>
      <c r="AI26" s="508"/>
      <c r="AJ26" s="509"/>
      <c r="AK26" s="509"/>
      <c r="AL26" s="509"/>
      <c r="AM26" s="508"/>
    </row>
    <row r="27" spans="1:39" ht="14.95" customHeight="1" thickBot="1" x14ac:dyDescent="0.3">
      <c r="A27" s="120"/>
      <c r="B27" s="121"/>
      <c r="C27" s="741" t="s">
        <v>74</v>
      </c>
      <c r="D27" s="742"/>
      <c r="E27" s="743"/>
      <c r="F27" s="122">
        <f t="shared" ref="F27:R27" si="0">SUM(F9:F24)</f>
        <v>348</v>
      </c>
      <c r="G27" s="122">
        <f t="shared" si="0"/>
        <v>379</v>
      </c>
      <c r="H27" s="122">
        <f t="shared" si="0"/>
        <v>6</v>
      </c>
      <c r="I27" s="122">
        <f t="shared" si="0"/>
        <v>1</v>
      </c>
      <c r="J27" s="122">
        <f t="shared" si="0"/>
        <v>55</v>
      </c>
      <c r="K27" s="122">
        <f t="shared" si="0"/>
        <v>35</v>
      </c>
      <c r="L27" s="122">
        <f t="shared" si="0"/>
        <v>0</v>
      </c>
      <c r="M27" s="122">
        <f t="shared" si="0"/>
        <v>1</v>
      </c>
      <c r="N27" s="122">
        <f t="shared" si="0"/>
        <v>9</v>
      </c>
      <c r="O27" s="122">
        <f t="shared" si="0"/>
        <v>0</v>
      </c>
      <c r="P27" s="122">
        <f t="shared" si="0"/>
        <v>9</v>
      </c>
      <c r="Q27" s="122">
        <f t="shared" si="0"/>
        <v>2</v>
      </c>
      <c r="R27" s="122">
        <f t="shared" si="0"/>
        <v>57</v>
      </c>
      <c r="S27" s="123"/>
      <c r="T27" s="123"/>
      <c r="U27" s="124"/>
      <c r="V27" s="124"/>
      <c r="W27" s="125" t="s">
        <v>74</v>
      </c>
      <c r="X27" s="122">
        <f t="shared" ref="X27:AM27" si="1">SUM(X9:X24)</f>
        <v>13</v>
      </c>
      <c r="Y27" s="122">
        <f t="shared" si="1"/>
        <v>4</v>
      </c>
      <c r="Z27" s="122">
        <f t="shared" si="1"/>
        <v>1</v>
      </c>
      <c r="AA27" s="122">
        <f t="shared" si="1"/>
        <v>8</v>
      </c>
      <c r="AB27" s="126">
        <f t="shared" si="1"/>
        <v>6</v>
      </c>
      <c r="AC27" s="126">
        <f t="shared" si="1"/>
        <v>2</v>
      </c>
      <c r="AD27" s="126">
        <f t="shared" si="1"/>
        <v>1</v>
      </c>
      <c r="AE27" s="126">
        <f t="shared" si="1"/>
        <v>3</v>
      </c>
      <c r="AF27" s="127">
        <f t="shared" si="1"/>
        <v>7</v>
      </c>
      <c r="AG27" s="127">
        <f t="shared" si="1"/>
        <v>2</v>
      </c>
      <c r="AH27" s="127">
        <f t="shared" si="1"/>
        <v>0</v>
      </c>
      <c r="AI27" s="127">
        <f t="shared" si="1"/>
        <v>5</v>
      </c>
      <c r="AJ27" s="122">
        <f t="shared" si="1"/>
        <v>0</v>
      </c>
      <c r="AK27" s="122">
        <f t="shared" si="1"/>
        <v>0</v>
      </c>
      <c r="AL27" s="122">
        <f t="shared" si="1"/>
        <v>0</v>
      </c>
      <c r="AM27" s="122">
        <f t="shared" si="1"/>
        <v>0</v>
      </c>
    </row>
    <row r="28" spans="1:39" ht="14.95" customHeight="1" thickBot="1" x14ac:dyDescent="0.3">
      <c r="A28" s="128"/>
      <c r="B28" s="128"/>
      <c r="C28" s="741" t="s">
        <v>75</v>
      </c>
      <c r="D28" s="742"/>
      <c r="E28" s="743"/>
      <c r="F28" s="122">
        <f>F25+F26</f>
        <v>0</v>
      </c>
      <c r="G28" s="122">
        <f>G25+G26</f>
        <v>0</v>
      </c>
      <c r="H28" s="129" t="s">
        <v>42</v>
      </c>
      <c r="I28" s="129" t="s">
        <v>42</v>
      </c>
      <c r="J28" s="122">
        <f t="shared" ref="J28:O28" si="2">J25+J26</f>
        <v>0</v>
      </c>
      <c r="K28" s="122">
        <f t="shared" si="2"/>
        <v>0</v>
      </c>
      <c r="L28" s="122">
        <f t="shared" si="2"/>
        <v>0</v>
      </c>
      <c r="M28" s="122">
        <f t="shared" si="2"/>
        <v>0</v>
      </c>
      <c r="N28" s="122">
        <f t="shared" si="2"/>
        <v>0</v>
      </c>
      <c r="O28" s="122">
        <f t="shared" si="2"/>
        <v>0</v>
      </c>
      <c r="P28" s="129" t="s">
        <v>42</v>
      </c>
      <c r="Q28" s="129" t="s">
        <v>42</v>
      </c>
      <c r="R28" s="122">
        <f>R25+R26</f>
        <v>0</v>
      </c>
      <c r="S28" s="123"/>
      <c r="T28" s="123"/>
      <c r="U28" s="123"/>
      <c r="V28" s="124"/>
      <c r="W28" s="125" t="s">
        <v>75</v>
      </c>
      <c r="X28" s="122">
        <f t="shared" ref="X28:AM28" si="3">X25+X26</f>
        <v>0</v>
      </c>
      <c r="Y28" s="122">
        <f t="shared" si="3"/>
        <v>0</v>
      </c>
      <c r="Z28" s="122">
        <f t="shared" si="3"/>
        <v>0</v>
      </c>
      <c r="AA28" s="122">
        <f t="shared" si="3"/>
        <v>0</v>
      </c>
      <c r="AB28" s="126">
        <f t="shared" si="3"/>
        <v>0</v>
      </c>
      <c r="AC28" s="126">
        <f t="shared" si="3"/>
        <v>0</v>
      </c>
      <c r="AD28" s="126">
        <f t="shared" si="3"/>
        <v>0</v>
      </c>
      <c r="AE28" s="126">
        <f t="shared" si="3"/>
        <v>0</v>
      </c>
      <c r="AF28" s="130">
        <f t="shared" si="3"/>
        <v>0</v>
      </c>
      <c r="AG28" s="130">
        <f t="shared" si="3"/>
        <v>0</v>
      </c>
      <c r="AH28" s="130">
        <f t="shared" si="3"/>
        <v>0</v>
      </c>
      <c r="AI28" s="130">
        <f t="shared" si="3"/>
        <v>0</v>
      </c>
      <c r="AJ28" s="122">
        <f t="shared" si="3"/>
        <v>0</v>
      </c>
      <c r="AK28" s="122">
        <f t="shared" si="3"/>
        <v>0</v>
      </c>
      <c r="AL28" s="122">
        <f t="shared" si="3"/>
        <v>0</v>
      </c>
      <c r="AM28" s="122">
        <f t="shared" si="3"/>
        <v>0</v>
      </c>
    </row>
    <row r="29" spans="1:39" ht="14.95" customHeight="1" thickBot="1" x14ac:dyDescent="0.3">
      <c r="A29" s="128"/>
      <c r="B29" s="128"/>
      <c r="C29" s="741" t="s">
        <v>76</v>
      </c>
      <c r="D29" s="742"/>
      <c r="E29" s="743"/>
      <c r="F29" s="122">
        <f>SUM(F27+F28)</f>
        <v>348</v>
      </c>
      <c r="G29" s="122">
        <f t="shared" ref="G29:R29" si="4">SUM(G27+G28)</f>
        <v>379</v>
      </c>
      <c r="H29" s="122">
        <f>H27</f>
        <v>6</v>
      </c>
      <c r="I29" s="122">
        <f>I27</f>
        <v>1</v>
      </c>
      <c r="J29" s="122">
        <f t="shared" si="4"/>
        <v>55</v>
      </c>
      <c r="K29" s="122">
        <f t="shared" si="4"/>
        <v>35</v>
      </c>
      <c r="L29" s="122">
        <f t="shared" si="4"/>
        <v>0</v>
      </c>
      <c r="M29" s="122">
        <f t="shared" si="4"/>
        <v>1</v>
      </c>
      <c r="N29" s="122">
        <f t="shared" si="4"/>
        <v>9</v>
      </c>
      <c r="O29" s="122">
        <f t="shared" si="4"/>
        <v>0</v>
      </c>
      <c r="P29" s="122">
        <f t="shared" ref="P29:Q29" si="5">P27</f>
        <v>9</v>
      </c>
      <c r="Q29" s="122">
        <f t="shared" si="5"/>
        <v>2</v>
      </c>
      <c r="R29" s="122">
        <f t="shared" si="4"/>
        <v>57</v>
      </c>
      <c r="S29" s="123"/>
      <c r="T29" s="123"/>
      <c r="U29" s="123"/>
      <c r="V29" s="124"/>
      <c r="W29" s="125" t="s">
        <v>76</v>
      </c>
      <c r="X29" s="122">
        <f t="shared" ref="X29:AM29" si="6">SUM(X27+X28)</f>
        <v>13</v>
      </c>
      <c r="Y29" s="122">
        <f t="shared" si="6"/>
        <v>4</v>
      </c>
      <c r="Z29" s="122">
        <f t="shared" si="6"/>
        <v>1</v>
      </c>
      <c r="AA29" s="122">
        <f t="shared" si="6"/>
        <v>8</v>
      </c>
      <c r="AB29" s="126">
        <f t="shared" si="6"/>
        <v>6</v>
      </c>
      <c r="AC29" s="126">
        <f t="shared" si="6"/>
        <v>2</v>
      </c>
      <c r="AD29" s="126">
        <f t="shared" si="6"/>
        <v>1</v>
      </c>
      <c r="AE29" s="126">
        <f t="shared" si="6"/>
        <v>3</v>
      </c>
      <c r="AF29" s="127">
        <f t="shared" si="6"/>
        <v>7</v>
      </c>
      <c r="AG29" s="127">
        <f t="shared" si="6"/>
        <v>2</v>
      </c>
      <c r="AH29" s="127">
        <f t="shared" si="6"/>
        <v>0</v>
      </c>
      <c r="AI29" s="127">
        <f t="shared" si="6"/>
        <v>5</v>
      </c>
      <c r="AJ29" s="122">
        <f t="shared" si="6"/>
        <v>0</v>
      </c>
      <c r="AK29" s="122">
        <f t="shared" si="6"/>
        <v>0</v>
      </c>
      <c r="AL29" s="122">
        <f t="shared" si="6"/>
        <v>0</v>
      </c>
      <c r="AM29" s="122">
        <f t="shared" si="6"/>
        <v>0</v>
      </c>
    </row>
    <row r="30" spans="1:39" ht="14.95" customHeight="1" thickBot="1" x14ac:dyDescent="0.3">
      <c r="A30" s="34"/>
      <c r="C30" s="726" t="s">
        <v>441</v>
      </c>
      <c r="D30" s="727"/>
      <c r="E30" s="728"/>
      <c r="F30" s="644">
        <f>SUM(F3:F6)</f>
        <v>137</v>
      </c>
      <c r="G30" s="644">
        <f t="shared" ref="G30:R30" si="7">SUM(G3:G6)</f>
        <v>93</v>
      </c>
      <c r="H30" s="644">
        <f t="shared" si="7"/>
        <v>3</v>
      </c>
      <c r="I30" s="644">
        <f t="shared" si="7"/>
        <v>0</v>
      </c>
      <c r="J30" s="644">
        <f t="shared" si="7"/>
        <v>23</v>
      </c>
      <c r="K30" s="644">
        <f t="shared" si="7"/>
        <v>11</v>
      </c>
      <c r="L30" s="644">
        <f t="shared" si="7"/>
        <v>0</v>
      </c>
      <c r="M30" s="644">
        <f t="shared" si="7"/>
        <v>0</v>
      </c>
      <c r="N30" s="644">
        <f t="shared" si="7"/>
        <v>4</v>
      </c>
      <c r="O30" s="644">
        <f t="shared" si="7"/>
        <v>0</v>
      </c>
      <c r="P30" s="644">
        <f t="shared" si="7"/>
        <v>2</v>
      </c>
      <c r="Q30" s="644">
        <f t="shared" si="7"/>
        <v>2</v>
      </c>
      <c r="R30" s="644">
        <f t="shared" si="7"/>
        <v>14</v>
      </c>
      <c r="S30" s="645"/>
      <c r="T30" s="645"/>
      <c r="U30" s="645"/>
      <c r="V30" s="646"/>
      <c r="W30" s="647" t="s">
        <v>441</v>
      </c>
      <c r="X30" s="644">
        <f t="shared" ref="X30:AM30" si="8">SUM(X3:X6)</f>
        <v>4</v>
      </c>
      <c r="Y30" s="644">
        <f t="shared" si="8"/>
        <v>3</v>
      </c>
      <c r="Z30" s="644">
        <f t="shared" si="8"/>
        <v>0</v>
      </c>
      <c r="AA30" s="644">
        <f t="shared" si="8"/>
        <v>1</v>
      </c>
      <c r="AB30" s="648">
        <f t="shared" si="8"/>
        <v>2</v>
      </c>
      <c r="AC30" s="648">
        <f t="shared" si="8"/>
        <v>2</v>
      </c>
      <c r="AD30" s="648">
        <f t="shared" si="8"/>
        <v>0</v>
      </c>
      <c r="AE30" s="648">
        <f t="shared" si="8"/>
        <v>0</v>
      </c>
      <c r="AF30" s="649">
        <f t="shared" si="8"/>
        <v>2</v>
      </c>
      <c r="AG30" s="649">
        <f t="shared" si="8"/>
        <v>1</v>
      </c>
      <c r="AH30" s="649">
        <f t="shared" si="8"/>
        <v>0</v>
      </c>
      <c r="AI30" s="649">
        <f t="shared" si="8"/>
        <v>1</v>
      </c>
      <c r="AJ30" s="644">
        <f t="shared" si="8"/>
        <v>0</v>
      </c>
      <c r="AK30" s="644">
        <f t="shared" si="8"/>
        <v>0</v>
      </c>
      <c r="AL30" s="644">
        <f t="shared" si="8"/>
        <v>0</v>
      </c>
      <c r="AM30" s="644">
        <f t="shared" si="8"/>
        <v>0</v>
      </c>
    </row>
    <row r="31" spans="1:39" ht="14.95" customHeight="1" thickBot="1" x14ac:dyDescent="0.3">
      <c r="A31" s="501"/>
      <c r="C31" s="726" t="s">
        <v>442</v>
      </c>
      <c r="D31" s="727"/>
      <c r="E31" s="728"/>
      <c r="F31" s="644">
        <f>SUM(F7:F8)</f>
        <v>48</v>
      </c>
      <c r="G31" s="644">
        <f t="shared" ref="G31:R31" si="9">SUM(G7:G8)</f>
        <v>81</v>
      </c>
      <c r="H31" s="644">
        <f t="shared" si="9"/>
        <v>0</v>
      </c>
      <c r="I31" s="644">
        <f t="shared" si="9"/>
        <v>0</v>
      </c>
      <c r="J31" s="644">
        <f t="shared" si="9"/>
        <v>8</v>
      </c>
      <c r="K31" s="644">
        <f t="shared" si="9"/>
        <v>4</v>
      </c>
      <c r="L31" s="644">
        <f t="shared" si="9"/>
        <v>0</v>
      </c>
      <c r="M31" s="644">
        <f t="shared" si="9"/>
        <v>0</v>
      </c>
      <c r="N31" s="644">
        <f t="shared" si="9"/>
        <v>0</v>
      </c>
      <c r="O31" s="644">
        <f t="shared" si="9"/>
        <v>1</v>
      </c>
      <c r="P31" s="644">
        <f t="shared" si="9"/>
        <v>0</v>
      </c>
      <c r="Q31" s="644">
        <f t="shared" si="9"/>
        <v>0</v>
      </c>
      <c r="R31" s="644">
        <f t="shared" si="9"/>
        <v>12</v>
      </c>
      <c r="S31" s="645"/>
      <c r="T31" s="645"/>
      <c r="U31" s="645"/>
      <c r="V31" s="646"/>
      <c r="W31" s="647" t="s">
        <v>442</v>
      </c>
      <c r="X31" s="644">
        <f t="shared" ref="X31:AM31" si="10">SUM(X7:X8)</f>
        <v>2</v>
      </c>
      <c r="Y31" s="644">
        <f t="shared" si="10"/>
        <v>0</v>
      </c>
      <c r="Z31" s="644">
        <f t="shared" si="10"/>
        <v>0</v>
      </c>
      <c r="AA31" s="644">
        <f t="shared" si="10"/>
        <v>2</v>
      </c>
      <c r="AB31" s="648">
        <f t="shared" si="10"/>
        <v>1</v>
      </c>
      <c r="AC31" s="648">
        <f t="shared" si="10"/>
        <v>0</v>
      </c>
      <c r="AD31" s="648">
        <f t="shared" si="10"/>
        <v>0</v>
      </c>
      <c r="AE31" s="648">
        <f t="shared" si="10"/>
        <v>1</v>
      </c>
      <c r="AF31" s="649">
        <f t="shared" si="10"/>
        <v>1</v>
      </c>
      <c r="AG31" s="649">
        <f t="shared" si="10"/>
        <v>0</v>
      </c>
      <c r="AH31" s="649">
        <f t="shared" si="10"/>
        <v>0</v>
      </c>
      <c r="AI31" s="649">
        <f t="shared" si="10"/>
        <v>1</v>
      </c>
      <c r="AJ31" s="644">
        <f t="shared" si="10"/>
        <v>0</v>
      </c>
      <c r="AK31" s="644">
        <f t="shared" si="10"/>
        <v>0</v>
      </c>
      <c r="AL31" s="644">
        <f t="shared" si="10"/>
        <v>0</v>
      </c>
      <c r="AM31" s="644">
        <f t="shared" si="10"/>
        <v>0</v>
      </c>
    </row>
    <row r="32" spans="1:39" ht="14.95" customHeight="1" thickBot="1" x14ac:dyDescent="0.35">
      <c r="A32" s="475"/>
      <c r="C32" s="726" t="s">
        <v>440</v>
      </c>
      <c r="D32" s="727"/>
      <c r="E32" s="728"/>
      <c r="F32" s="644">
        <f>SUM(F30+F31)</f>
        <v>185</v>
      </c>
      <c r="G32" s="644">
        <f t="shared" ref="G32:R32" si="11">SUM(G30+G31)</f>
        <v>174</v>
      </c>
      <c r="H32" s="644">
        <f t="shared" si="11"/>
        <v>3</v>
      </c>
      <c r="I32" s="644">
        <f t="shared" si="11"/>
        <v>0</v>
      </c>
      <c r="J32" s="644">
        <f t="shared" si="11"/>
        <v>31</v>
      </c>
      <c r="K32" s="644">
        <f t="shared" si="11"/>
        <v>15</v>
      </c>
      <c r="L32" s="644">
        <f t="shared" si="11"/>
        <v>0</v>
      </c>
      <c r="M32" s="644">
        <f t="shared" si="11"/>
        <v>0</v>
      </c>
      <c r="N32" s="644">
        <f t="shared" si="11"/>
        <v>4</v>
      </c>
      <c r="O32" s="644">
        <f t="shared" si="11"/>
        <v>1</v>
      </c>
      <c r="P32" s="644">
        <f t="shared" si="11"/>
        <v>2</v>
      </c>
      <c r="Q32" s="644">
        <f t="shared" si="11"/>
        <v>2</v>
      </c>
      <c r="R32" s="644">
        <f t="shared" si="11"/>
        <v>26</v>
      </c>
      <c r="S32" s="645"/>
      <c r="T32" s="645"/>
      <c r="U32" s="645"/>
      <c r="V32" s="646"/>
      <c r="W32" s="647" t="s">
        <v>440</v>
      </c>
      <c r="X32" s="644">
        <f t="shared" ref="X32:AM32" si="12">SUM(X30+X31)</f>
        <v>6</v>
      </c>
      <c r="Y32" s="644">
        <f t="shared" si="12"/>
        <v>3</v>
      </c>
      <c r="Z32" s="644">
        <f t="shared" si="12"/>
        <v>0</v>
      </c>
      <c r="AA32" s="644">
        <f t="shared" si="12"/>
        <v>3</v>
      </c>
      <c r="AB32" s="648">
        <f t="shared" si="12"/>
        <v>3</v>
      </c>
      <c r="AC32" s="648">
        <f t="shared" si="12"/>
        <v>2</v>
      </c>
      <c r="AD32" s="648">
        <f t="shared" si="12"/>
        <v>0</v>
      </c>
      <c r="AE32" s="648">
        <f t="shared" si="12"/>
        <v>1</v>
      </c>
      <c r="AF32" s="649">
        <f t="shared" si="12"/>
        <v>3</v>
      </c>
      <c r="AG32" s="649">
        <f t="shared" si="12"/>
        <v>1</v>
      </c>
      <c r="AH32" s="649">
        <f t="shared" si="12"/>
        <v>0</v>
      </c>
      <c r="AI32" s="649">
        <f t="shared" si="12"/>
        <v>2</v>
      </c>
      <c r="AJ32" s="644">
        <f t="shared" si="12"/>
        <v>0</v>
      </c>
      <c r="AK32" s="644">
        <f t="shared" si="12"/>
        <v>0</v>
      </c>
      <c r="AL32" s="644">
        <f t="shared" si="12"/>
        <v>0</v>
      </c>
      <c r="AM32" s="644">
        <f t="shared" si="12"/>
        <v>0</v>
      </c>
    </row>
    <row r="33" spans="1:39" ht="14.95" thickBot="1" x14ac:dyDescent="0.3">
      <c r="A33" s="34"/>
      <c r="C33" s="69" t="s">
        <v>29</v>
      </c>
      <c r="D33" s="70"/>
      <c r="E33" s="71"/>
      <c r="F33" s="72">
        <f>SUM(F3:F26)</f>
        <v>533</v>
      </c>
      <c r="G33" s="72">
        <f t="shared" ref="G33:R33" si="13">SUM(G3:G26)</f>
        <v>553</v>
      </c>
      <c r="H33" s="72">
        <f t="shared" si="13"/>
        <v>9</v>
      </c>
      <c r="I33" s="73">
        <f t="shared" si="13"/>
        <v>1</v>
      </c>
      <c r="J33" s="72">
        <f t="shared" si="13"/>
        <v>86</v>
      </c>
      <c r="K33" s="72">
        <f t="shared" si="13"/>
        <v>50</v>
      </c>
      <c r="L33" s="72">
        <f t="shared" si="13"/>
        <v>0</v>
      </c>
      <c r="M33" s="72">
        <f t="shared" si="13"/>
        <v>1</v>
      </c>
      <c r="N33" s="72">
        <f t="shared" si="13"/>
        <v>13</v>
      </c>
      <c r="O33" s="72">
        <f t="shared" si="13"/>
        <v>1</v>
      </c>
      <c r="P33" s="72">
        <f t="shared" si="13"/>
        <v>11</v>
      </c>
      <c r="Q33" s="72">
        <f t="shared" si="13"/>
        <v>4</v>
      </c>
      <c r="R33" s="72">
        <f t="shared" si="13"/>
        <v>83</v>
      </c>
      <c r="S33" s="40"/>
      <c r="T33" s="40"/>
      <c r="U33" s="40"/>
      <c r="V33" s="40"/>
      <c r="W33" s="65" t="s">
        <v>29</v>
      </c>
      <c r="X33" s="72">
        <f t="shared" ref="X33:AM33" si="14">SUM(X3:X26)</f>
        <v>19</v>
      </c>
      <c r="Y33" s="72">
        <f t="shared" si="14"/>
        <v>7</v>
      </c>
      <c r="Z33" s="72">
        <f t="shared" si="14"/>
        <v>1</v>
      </c>
      <c r="AA33" s="73">
        <f t="shared" si="14"/>
        <v>11</v>
      </c>
      <c r="AB33" s="66">
        <f t="shared" si="14"/>
        <v>9</v>
      </c>
      <c r="AC33" s="66">
        <f t="shared" si="14"/>
        <v>4</v>
      </c>
      <c r="AD33" s="66">
        <f t="shared" si="14"/>
        <v>1</v>
      </c>
      <c r="AE33" s="66">
        <f t="shared" si="14"/>
        <v>4</v>
      </c>
      <c r="AF33" s="75">
        <f t="shared" si="14"/>
        <v>10</v>
      </c>
      <c r="AG33" s="75">
        <f t="shared" si="14"/>
        <v>3</v>
      </c>
      <c r="AH33" s="75">
        <f t="shared" si="14"/>
        <v>0</v>
      </c>
      <c r="AI33" s="75">
        <f t="shared" si="14"/>
        <v>7</v>
      </c>
      <c r="AJ33" s="72">
        <f t="shared" si="14"/>
        <v>0</v>
      </c>
      <c r="AK33" s="72">
        <f t="shared" si="14"/>
        <v>0</v>
      </c>
      <c r="AL33" s="72">
        <f t="shared" si="14"/>
        <v>0</v>
      </c>
      <c r="AM33" s="72">
        <f t="shared" si="14"/>
        <v>0</v>
      </c>
    </row>
    <row r="34" spans="1:39" x14ac:dyDescent="0.25">
      <c r="A34" s="643" t="s">
        <v>433</v>
      </c>
    </row>
    <row r="35" spans="1:39" x14ac:dyDescent="0.25">
      <c r="A35" s="501" t="s">
        <v>229</v>
      </c>
    </row>
    <row r="36" spans="1:39" ht="16.3" x14ac:dyDescent="0.3">
      <c r="A36" s="475" t="s">
        <v>47</v>
      </c>
    </row>
  </sheetData>
  <mergeCells count="16">
    <mergeCell ref="C30:E30"/>
    <mergeCell ref="C31:E31"/>
    <mergeCell ref="C32:E32"/>
    <mergeCell ref="AJ1:AM1"/>
    <mergeCell ref="A1:D1"/>
    <mergeCell ref="E1:G1"/>
    <mergeCell ref="H1:I1"/>
    <mergeCell ref="J1:M1"/>
    <mergeCell ref="N1:O1"/>
    <mergeCell ref="P1:R1"/>
    <mergeCell ref="X1:AA1"/>
    <mergeCell ref="C27:E27"/>
    <mergeCell ref="C28:E28"/>
    <mergeCell ref="C29:E29"/>
    <mergeCell ref="AB1:AE1"/>
    <mergeCell ref="AF1:AI1"/>
  </mergeCells>
  <pageMargins left="0.7" right="0.7" top="0.75" bottom="0.75" header="0.3" footer="0.3"/>
  <pageSetup paperSize="9" orientation="portrait" r:id="rId1"/>
  <ignoredErrors>
    <ignoredError sqref="S10 S7 S13 S15:S16 S19 S21" twoDigitTextYear="1"/>
    <ignoredError sqref="S33:W33 F27:AM29 F30:AM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319</vt:i4>
      </vt:variant>
    </vt:vector>
  </HeadingPairs>
  <TitlesOfParts>
    <vt:vector size="336" baseType="lpstr">
      <vt:lpstr>Sum</vt:lpstr>
      <vt:lpstr>Yr-By-Yr</vt:lpstr>
      <vt:lpstr>25-26 Sum</vt:lpstr>
      <vt:lpstr>Cards</vt:lpstr>
      <vt:lpstr>Form</vt:lpstr>
      <vt:lpstr>Stats</vt:lpstr>
      <vt:lpstr>Table</vt:lpstr>
      <vt:lpstr>Results</vt:lpstr>
      <vt:lpstr>BRI</vt:lpstr>
      <vt:lpstr>EXE</vt:lpstr>
      <vt:lpstr>GLO</vt:lpstr>
      <vt:lpstr>HAR</vt:lpstr>
      <vt:lpstr>LEI</vt:lpstr>
      <vt:lpstr>LOU</vt:lpstr>
      <vt:lpstr>SAL</vt:lpstr>
      <vt:lpstr>SAR</vt:lpstr>
      <vt:lpstr>TFW</vt:lpstr>
      <vt:lpstr>Table!_FilterDatabase</vt:lpstr>
      <vt:lpstr>bathbonus</vt:lpstr>
      <vt:lpstr>bathbonusccorrect</vt:lpstr>
      <vt:lpstr>bathconceded</vt:lpstr>
      <vt:lpstr>bathdrawn</vt:lpstr>
      <vt:lpstr>bathdropgoals</vt:lpstr>
      <vt:lpstr>bathlost</vt:lpstr>
      <vt:lpstr>bathpld</vt:lpstr>
      <vt:lpstr>bathred</vt:lpstr>
      <vt:lpstr>bathscored</vt:lpstr>
      <vt:lpstr>bathtriesconceded</vt:lpstr>
      <vt:lpstr>bathtriesscored</vt:lpstr>
      <vt:lpstr>bathtrybonus</vt:lpstr>
      <vt:lpstr>bathtrybonusconceded</vt:lpstr>
      <vt:lpstr>bathwon</vt:lpstr>
      <vt:lpstr>bathyellow</vt:lpstr>
      <vt:lpstr>Bristolpremseasontotalsdgs</vt:lpstr>
      <vt:lpstr>Bristolpremseasontotalsdrawn</vt:lpstr>
      <vt:lpstr>Bristolpremseasontotalslost</vt:lpstr>
      <vt:lpstr>Bristolpremseasontotalsplayed</vt:lpstr>
      <vt:lpstr>Bristolpremseasontotalsptsagainst</vt:lpstr>
      <vt:lpstr>Bristolpremseasontotalsptsscored</vt:lpstr>
      <vt:lpstr>BristolpremseasontotalsRC</vt:lpstr>
      <vt:lpstr>Bristolpremseasontotalstriesconceded</vt:lpstr>
      <vt:lpstr>Bristolpremseasontotalstriesscored</vt:lpstr>
      <vt:lpstr>Bristolpremseasontotalswon</vt:lpstr>
      <vt:lpstr>BristolpremseasontotalsYC</vt:lpstr>
      <vt:lpstr>BristolPWRhistDrawn</vt:lpstr>
      <vt:lpstr>BristolPWRhistlost</vt:lpstr>
      <vt:lpstr>BristolPWRhistplayed</vt:lpstr>
      <vt:lpstr>BristolPWRhistPts_Aga</vt:lpstr>
      <vt:lpstr>BristolPWRhistPts_For</vt:lpstr>
      <vt:lpstr>BristolPWRhistwon</vt:lpstr>
      <vt:lpstr>bstagainst</vt:lpstr>
      <vt:lpstr>bstdrew</vt:lpstr>
      <vt:lpstr>bstdropgoals</vt:lpstr>
      <vt:lpstr>bstlosingbonusconceded</vt:lpstr>
      <vt:lpstr>bstlosingbonusscored</vt:lpstr>
      <vt:lpstr>bstlost</vt:lpstr>
      <vt:lpstr>bstplayed</vt:lpstr>
      <vt:lpstr>bstred</vt:lpstr>
      <vt:lpstr>bstscored</vt:lpstr>
      <vt:lpstr>bsttriesconceded</vt:lpstr>
      <vt:lpstr>bsttriesscored</vt:lpstr>
      <vt:lpstr>bsttrybonusconceded</vt:lpstr>
      <vt:lpstr>bsttrybonusscored</vt:lpstr>
      <vt:lpstr>bstwon</vt:lpstr>
      <vt:lpstr>bstyellow</vt:lpstr>
      <vt:lpstr>bthpodgsscored</vt:lpstr>
      <vt:lpstr>bthpolost</vt:lpstr>
      <vt:lpstr>bthpoplayed</vt:lpstr>
      <vt:lpstr>bthpoptsagainst</vt:lpstr>
      <vt:lpstr>bthpoptsscored</vt:lpstr>
      <vt:lpstr>bthpored</vt:lpstr>
      <vt:lpstr>bthpotriesscored</vt:lpstr>
      <vt:lpstr>bthpotriesscoredcorrect</vt:lpstr>
      <vt:lpstr>bthpowon</vt:lpstr>
      <vt:lpstr>bthpoyellow</vt:lpstr>
      <vt:lpstr>bthpremseasontotalsdgs</vt:lpstr>
      <vt:lpstr>bthpremseasontotalsdrawn</vt:lpstr>
      <vt:lpstr>bthpremseasontotalslosingbonusconceded</vt:lpstr>
      <vt:lpstr>bthpremseasontotalslosingbonuspointsscored</vt:lpstr>
      <vt:lpstr>bthpremseasontotalslost</vt:lpstr>
      <vt:lpstr>bthpremseasontotalsplayed</vt:lpstr>
      <vt:lpstr>bthpremseasontotalsptsagainst</vt:lpstr>
      <vt:lpstr>bthpremseasontotalsptsscored</vt:lpstr>
      <vt:lpstr>bthpremseasontotalsRC</vt:lpstr>
      <vt:lpstr>bthpremseasontotalstriesconceded</vt:lpstr>
      <vt:lpstr>bthpremseasontotalstriesscored</vt:lpstr>
      <vt:lpstr>bthpremseasontotalstrybonusconceded</vt:lpstr>
      <vt:lpstr>bthpremseasontotalstrybonuspointsscored</vt:lpstr>
      <vt:lpstr>bthpremseasontotalswon</vt:lpstr>
      <vt:lpstr>bthpremseasontotalswoncorrect</vt:lpstr>
      <vt:lpstr>bthpremseasontotalsYC</vt:lpstr>
      <vt:lpstr>EALINGPWRDRAWN</vt:lpstr>
      <vt:lpstr>EALINGPWRLBCONC</vt:lpstr>
      <vt:lpstr>EALINGPWRLBFOR</vt:lpstr>
      <vt:lpstr>EALINGPWRLOST</vt:lpstr>
      <vt:lpstr>EALINGPWRPLAYED</vt:lpstr>
      <vt:lpstr>EALINGPWRPTSCONC</vt:lpstr>
      <vt:lpstr>EALINGPWRPTSSCORED</vt:lpstr>
      <vt:lpstr>EALINGPWRTBCONC</vt:lpstr>
      <vt:lpstr>EALINGPWRTBFOR</vt:lpstr>
      <vt:lpstr>EALINGPWRTRIESCONC</vt:lpstr>
      <vt:lpstr>EALINGPWRTRIESSCORED</vt:lpstr>
      <vt:lpstr>EALINGPWRWON</vt:lpstr>
      <vt:lpstr>exeprempodgs</vt:lpstr>
      <vt:lpstr>exeprempolost</vt:lpstr>
      <vt:lpstr>exeprempoplayed</vt:lpstr>
      <vt:lpstr>exeprempoptsagainst</vt:lpstr>
      <vt:lpstr>exeprempoptsscored</vt:lpstr>
      <vt:lpstr>exeprempoRC</vt:lpstr>
      <vt:lpstr>exeprempotriesagainst</vt:lpstr>
      <vt:lpstr>exeprempotriesscored</vt:lpstr>
      <vt:lpstr>exeprempowon</vt:lpstr>
      <vt:lpstr>exeprempoYC</vt:lpstr>
      <vt:lpstr>Exepremtotalsdgs</vt:lpstr>
      <vt:lpstr>Exepremtotalslost</vt:lpstr>
      <vt:lpstr>Exepremtotalsplayed</vt:lpstr>
      <vt:lpstr>Exepremtotalsptsagainst</vt:lpstr>
      <vt:lpstr>Exepremtotalsptsscored</vt:lpstr>
      <vt:lpstr>Exepremtotalsrc</vt:lpstr>
      <vt:lpstr>Exepremtotalstriesconceded</vt:lpstr>
      <vt:lpstr>Exepremtotalstriesscored</vt:lpstr>
      <vt:lpstr>Exepremtotalswon</vt:lpstr>
      <vt:lpstr>Exepremtotalsyc</vt:lpstr>
      <vt:lpstr>exeterpremdrawn</vt:lpstr>
      <vt:lpstr>exeterpremdropgoalsscored</vt:lpstr>
      <vt:lpstr>exeterpremlosingbonusconc</vt:lpstr>
      <vt:lpstr>exeterpremlosingbonusscored</vt:lpstr>
      <vt:lpstr>exeterpremlost</vt:lpstr>
      <vt:lpstr>exeterpremplayed</vt:lpstr>
      <vt:lpstr>exeterpremptsagainst</vt:lpstr>
      <vt:lpstr>exeterpremptsscored</vt:lpstr>
      <vt:lpstr>exeterpremred</vt:lpstr>
      <vt:lpstr>exeterpremtriesconc</vt:lpstr>
      <vt:lpstr>exeterpremtriesscored</vt:lpstr>
      <vt:lpstr>exeterpremtrybonusconc</vt:lpstr>
      <vt:lpstr>exeterpremtrybonusscored</vt:lpstr>
      <vt:lpstr>exeterpremwon</vt:lpstr>
      <vt:lpstr>exeterpremyellow</vt:lpstr>
      <vt:lpstr>ExeterPWRhistdrawn</vt:lpstr>
      <vt:lpstr>ExeterPWRhistlost</vt:lpstr>
      <vt:lpstr>ExeterPWRhistplayed</vt:lpstr>
      <vt:lpstr>ExeterPWRhistptsaga</vt:lpstr>
      <vt:lpstr>ExeterPWRhistptsfor</vt:lpstr>
      <vt:lpstr>ExeterPWRhistwon</vt:lpstr>
      <vt:lpstr>gloucesterpremdrawsn</vt:lpstr>
      <vt:lpstr>gloucesterpremdropgoalsscored</vt:lpstr>
      <vt:lpstr>gloucesterpremlosingbonusconc</vt:lpstr>
      <vt:lpstr>gloucesterpremlosingbonusscored</vt:lpstr>
      <vt:lpstr>gloucesterpremlost</vt:lpstr>
      <vt:lpstr>gloucesterpremplayed</vt:lpstr>
      <vt:lpstr>gloucesterpremptsagainst</vt:lpstr>
      <vt:lpstr>gloucesterpremptsscored</vt:lpstr>
      <vt:lpstr>gloucesterpremred</vt:lpstr>
      <vt:lpstr>gloucesterpremseasontotalsdgs</vt:lpstr>
      <vt:lpstr>gloucesterpremseasontotalsdrawn</vt:lpstr>
      <vt:lpstr>gloucesterpremseasontotalslost</vt:lpstr>
      <vt:lpstr>gloucesterpremseasontotalsplayed</vt:lpstr>
      <vt:lpstr>gloucesterpremseasontotalsptsagainst</vt:lpstr>
      <vt:lpstr>gloucesterpremseasontotalsptsscored</vt:lpstr>
      <vt:lpstr>gloucesterpremseasontotalsRC</vt:lpstr>
      <vt:lpstr>gloucesterpremseasontotalstriesconceded</vt:lpstr>
      <vt:lpstr>gloucesterpremseasontotalstriesscored</vt:lpstr>
      <vt:lpstr>gloucesterpremseasontotalswon</vt:lpstr>
      <vt:lpstr>gloucesterpremseasontotalsYC</vt:lpstr>
      <vt:lpstr>gloucesterpremtriesconc</vt:lpstr>
      <vt:lpstr>gloucesterpremtriesscored</vt:lpstr>
      <vt:lpstr>gloucesterpremtrybonusconc</vt:lpstr>
      <vt:lpstr>gloucesterpremtrybonusscored</vt:lpstr>
      <vt:lpstr>gloucesterpremwon</vt:lpstr>
      <vt:lpstr>gloucesterpremyellow</vt:lpstr>
      <vt:lpstr>GloucesterPWRhistdrawn</vt:lpstr>
      <vt:lpstr>GloucesterPWRhistlost</vt:lpstr>
      <vt:lpstr>GloucesterPWRhistplayed</vt:lpstr>
      <vt:lpstr>GloucesterPWRhistptsaga</vt:lpstr>
      <vt:lpstr>GloucesterPWRhistptsfor</vt:lpstr>
      <vt:lpstr>GloucesterPWRhistwon</vt:lpstr>
      <vt:lpstr>HARLEQUINSPWRDRAWN</vt:lpstr>
      <vt:lpstr>HarlequinsPWRhistdrawn</vt:lpstr>
      <vt:lpstr>HarlequinsPWRhistlost</vt:lpstr>
      <vt:lpstr>HarlequinsPWRhistplayed</vt:lpstr>
      <vt:lpstr>HarlequinsPWRhistptsaga</vt:lpstr>
      <vt:lpstr>HarlequinsPWRhistptsfor</vt:lpstr>
      <vt:lpstr>HarlequinsPWRhistwon</vt:lpstr>
      <vt:lpstr>HARLEQUINSPWRLBCONC</vt:lpstr>
      <vt:lpstr>HARLEQUINSPWRLBSCORED</vt:lpstr>
      <vt:lpstr>HARLEQUINSPWRLOST</vt:lpstr>
      <vt:lpstr>HARLEQUINSPWRPLAYED</vt:lpstr>
      <vt:lpstr>HARLEQUINSPWRPTSCONC</vt:lpstr>
      <vt:lpstr>HARLEQUINSPWRPTSSCORED</vt:lpstr>
      <vt:lpstr>harlequinspwrseasontotalstriesconceded</vt:lpstr>
      <vt:lpstr>harlequinspwrseasontotalstriesscored</vt:lpstr>
      <vt:lpstr>HARLEQUINSPWRTBCONC</vt:lpstr>
      <vt:lpstr>HARLEQUINSPWRTBSCORED</vt:lpstr>
      <vt:lpstr>HARLEQUINSPWRTRIESCONC</vt:lpstr>
      <vt:lpstr>HARLEQUINSPWRTRIESSCORED</vt:lpstr>
      <vt:lpstr>HARLEQUINSPWRWON</vt:lpstr>
      <vt:lpstr>harpremseasontotalsdrawn</vt:lpstr>
      <vt:lpstr>harpremseasontotalslost</vt:lpstr>
      <vt:lpstr>harpremseasontotalsplayed</vt:lpstr>
      <vt:lpstr>harpremseasontotalsptsagaintss</vt:lpstr>
      <vt:lpstr>harpremseasontotalsptsscored</vt:lpstr>
      <vt:lpstr>harpremseasontotalswon</vt:lpstr>
      <vt:lpstr>LEICESTERPWRDRAWN</vt:lpstr>
      <vt:lpstr>leicesterPWRhistdrawn</vt:lpstr>
      <vt:lpstr>leicesterPWRhistlost</vt:lpstr>
      <vt:lpstr>leicesterPWRhistplayed</vt:lpstr>
      <vt:lpstr>leicesterPWRhistptsaga</vt:lpstr>
      <vt:lpstr>leicesterPWRhistptsfor</vt:lpstr>
      <vt:lpstr>leicesterPWRhistwon</vt:lpstr>
      <vt:lpstr>LEICESTERPWRLBCONC</vt:lpstr>
      <vt:lpstr>LEICESTERPWRLBSCORED</vt:lpstr>
      <vt:lpstr>LEICESTERPWRLOST</vt:lpstr>
      <vt:lpstr>LEICESTERPWRPLAYED</vt:lpstr>
      <vt:lpstr>LEICESTERPWRPTSCONC</vt:lpstr>
      <vt:lpstr>LEICESTERPWRPTSSCORED</vt:lpstr>
      <vt:lpstr>LEICESTERPWRTBCONC</vt:lpstr>
      <vt:lpstr>LEICESTERPWRTBSCORED</vt:lpstr>
      <vt:lpstr>LEICESTERPWRTRIESCONC</vt:lpstr>
      <vt:lpstr>LEICESTERPWRTRIESSCORED</vt:lpstr>
      <vt:lpstr>LEICESTERPWRWON</vt:lpstr>
      <vt:lpstr>leicesterwomenrc</vt:lpstr>
      <vt:lpstr>leicesterwomenyc</vt:lpstr>
      <vt:lpstr>leipremseasontotalsdrawn</vt:lpstr>
      <vt:lpstr>leipremseasontotalslost</vt:lpstr>
      <vt:lpstr>leipremseasontotalsplayed</vt:lpstr>
      <vt:lpstr>leipremseasontotalsptsagainsst</vt:lpstr>
      <vt:lpstr>leipremseasontotalsptsscored</vt:lpstr>
      <vt:lpstr>leipremseasontotalswon</vt:lpstr>
      <vt:lpstr>lirdgsscored</vt:lpstr>
      <vt:lpstr>lirdrawn</vt:lpstr>
      <vt:lpstr>lirlosingbonusconceded</vt:lpstr>
      <vt:lpstr>lirlosingbonusscored</vt:lpstr>
      <vt:lpstr>lirlost</vt:lpstr>
      <vt:lpstr>lirplayed</vt:lpstr>
      <vt:lpstr>lirpodgsscored</vt:lpstr>
      <vt:lpstr>lirpolost</vt:lpstr>
      <vt:lpstr>lirpoplayed</vt:lpstr>
      <vt:lpstr>lirpoptsagainst</vt:lpstr>
      <vt:lpstr>lirpoptsscored</vt:lpstr>
      <vt:lpstr>lirpored</vt:lpstr>
      <vt:lpstr>lirpotriesagainst</vt:lpstr>
      <vt:lpstr>lirpotriesscored</vt:lpstr>
      <vt:lpstr>lirpowon</vt:lpstr>
      <vt:lpstr>lirpoyellow</vt:lpstr>
      <vt:lpstr>lirptsagainst</vt:lpstr>
      <vt:lpstr>lirptsscored</vt:lpstr>
      <vt:lpstr>lirred</vt:lpstr>
      <vt:lpstr>lirtriesagainst</vt:lpstr>
      <vt:lpstr>lirtriesconceded</vt:lpstr>
      <vt:lpstr>lirtriesconcededcorrect</vt:lpstr>
      <vt:lpstr>lirtriesscored</vt:lpstr>
      <vt:lpstr>lirtrybonusconceded</vt:lpstr>
      <vt:lpstr>lirtrybonusscored</vt:lpstr>
      <vt:lpstr>lirwon</vt:lpstr>
      <vt:lpstr>liryellow</vt:lpstr>
      <vt:lpstr>LOUGHBOROUGHPWRDRAWN</vt:lpstr>
      <vt:lpstr>loughboroughPWRhistdrawn</vt:lpstr>
      <vt:lpstr>loughboroughPWRhistlost</vt:lpstr>
      <vt:lpstr>loughboroughPWRhistorydrawncorrrect</vt:lpstr>
      <vt:lpstr>loughboroughPWRhistplayed</vt:lpstr>
      <vt:lpstr>loughboroughPWRhistptsaga</vt:lpstr>
      <vt:lpstr>loughboroughPWRhistptsfor</vt:lpstr>
      <vt:lpstr>loughboroughPWRhistwon</vt:lpstr>
      <vt:lpstr>LOUGHBOROUGHPWRLBCONC</vt:lpstr>
      <vt:lpstr>LOUGHBOROUGHPWRLBSCORED</vt:lpstr>
      <vt:lpstr>LOUGHBOROUGHPWRLOST</vt:lpstr>
      <vt:lpstr>LOUGHBOROUGHPWRPLAYED</vt:lpstr>
      <vt:lpstr>LOUGHBOROUGHPWRPTSCONC</vt:lpstr>
      <vt:lpstr>LOUGHBOROUGHPWRPTSSCORED</vt:lpstr>
      <vt:lpstr>LOUGHBOROUGHPWRTBCONC</vt:lpstr>
      <vt:lpstr>LOUGHBOROUGHPWRTBSCORED</vt:lpstr>
      <vt:lpstr>LOUGHBOROUGHPWRTRIESCONC</vt:lpstr>
      <vt:lpstr>LOUGHBOROUGHPWRTRIESSCORED</vt:lpstr>
      <vt:lpstr>LOUGHBOROUGHPWRWON</vt:lpstr>
      <vt:lpstr>loughboroughwomenrc</vt:lpstr>
      <vt:lpstr>loughboroughwomenyc</vt:lpstr>
      <vt:lpstr>loupremseasontotalsdrawn</vt:lpstr>
      <vt:lpstr>loupremseasontotalslost</vt:lpstr>
      <vt:lpstr>loupremseasontotalsplayed</vt:lpstr>
      <vt:lpstr>loupremseasontotalsptsagainst</vt:lpstr>
      <vt:lpstr>loupremseasontotalsptsscored</vt:lpstr>
      <vt:lpstr>loupremseasontotalswon</vt:lpstr>
      <vt:lpstr>pwrseasonpts</vt:lpstr>
      <vt:lpstr>pwrseasonrc</vt:lpstr>
      <vt:lpstr>pwrseasontries</vt:lpstr>
      <vt:lpstr>pwrseasonyc</vt:lpstr>
      <vt:lpstr>quinswomenrc</vt:lpstr>
      <vt:lpstr>quinswomenyc</vt:lpstr>
      <vt:lpstr>SALEPWRDRAWN</vt:lpstr>
      <vt:lpstr>salePWRhistdrawn</vt:lpstr>
      <vt:lpstr>salePWRhistlost</vt:lpstr>
      <vt:lpstr>salePWRhistplayed</vt:lpstr>
      <vt:lpstr>salePWRhistptsaga</vt:lpstr>
      <vt:lpstr>salePWRhistptsfor</vt:lpstr>
      <vt:lpstr>salePWRhistwon</vt:lpstr>
      <vt:lpstr>SALEPWRLBCONC</vt:lpstr>
      <vt:lpstr>SALEPWRLBSCORED</vt:lpstr>
      <vt:lpstr>SALEPWRLOST</vt:lpstr>
      <vt:lpstr>SALEPWRPLAYED</vt:lpstr>
      <vt:lpstr>SALEPWRPTSCONC</vt:lpstr>
      <vt:lpstr>SALEPWRPTSSCORED</vt:lpstr>
      <vt:lpstr>SALEPWRTBCONC</vt:lpstr>
      <vt:lpstr>SALEPWRTBSCORED</vt:lpstr>
      <vt:lpstr>SALEPWRTRIESCONC</vt:lpstr>
      <vt:lpstr>SALEPWRTRIESSCORED</vt:lpstr>
      <vt:lpstr>SALEPWRWON</vt:lpstr>
      <vt:lpstr>salewomenrc</vt:lpstr>
      <vt:lpstr>salewomenyc</vt:lpstr>
      <vt:lpstr>salpremseasontotalsdrawn</vt:lpstr>
      <vt:lpstr>salpremseasontotalslost</vt:lpstr>
      <vt:lpstr>salpremseasontotalsplayed</vt:lpstr>
      <vt:lpstr>salpremseasontotalsptsagainst</vt:lpstr>
      <vt:lpstr>salpremseasontotalsptsscored</vt:lpstr>
      <vt:lpstr>salpremseasontotalswon</vt:lpstr>
      <vt:lpstr>saracensPWRhistdrawn</vt:lpstr>
      <vt:lpstr>saracensPWRhistlost</vt:lpstr>
      <vt:lpstr>saracensPWRhistplayed</vt:lpstr>
      <vt:lpstr>saracensPWRhistptsaga</vt:lpstr>
      <vt:lpstr>saracensPWRhistptsfor</vt:lpstr>
      <vt:lpstr>saracensPWRhistwon</vt:lpstr>
      <vt:lpstr>saracenswomenrc</vt:lpstr>
      <vt:lpstr>saracenswomenyc</vt:lpstr>
      <vt:lpstr>tfwpremseasontotalsdrawn</vt:lpstr>
      <vt:lpstr>tfwpremseasontotalslost</vt:lpstr>
      <vt:lpstr>tfwpremseasontotalsplayed</vt:lpstr>
      <vt:lpstr>tfwpremseasontotalsptsagainst</vt:lpstr>
      <vt:lpstr>tfwpremseasontotalsptsscored</vt:lpstr>
      <vt:lpstr>tfwpremseasontotalswon</vt:lpstr>
      <vt:lpstr>trailfindersPWRhistdrawn</vt:lpstr>
      <vt:lpstr>trailfindersPWRhistlost</vt:lpstr>
      <vt:lpstr>trailfindersPWRhistplayed</vt:lpstr>
      <vt:lpstr>trailfindersPWRhistptsaga</vt:lpstr>
      <vt:lpstr>trailfindersPWRhistptsfor</vt:lpstr>
      <vt:lpstr>trailfindersPWRhistwon</vt:lpstr>
      <vt:lpstr>trailfinderswomenrc</vt:lpstr>
      <vt:lpstr>trailfinderswomenyc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2016-05-22T09:43:42Z</cp:lastPrinted>
  <dcterms:created xsi:type="dcterms:W3CDTF">2013-06-01T17:42:48Z</dcterms:created>
  <dcterms:modified xsi:type="dcterms:W3CDTF">2026-03-25T18:23:40Z</dcterms:modified>
</cp:coreProperties>
</file>