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7D62A7607D3EE9B/Hillsport Media/INTERNATIONAL WOMEN'S RUGBY/2025/"/>
    </mc:Choice>
  </mc:AlternateContent>
  <xr:revisionPtr revIDLastSave="10505" documentId="8_{C7DEA6AA-391F-411B-BE2E-254B1290817E}" xr6:coauthVersionLast="47" xr6:coauthVersionMax="47" xr10:uidLastSave="{24C83132-6BCE-45CB-8043-BF057E62F75C}"/>
  <bookViews>
    <workbookView xWindow="-109" yWindow="-109" windowWidth="26301" windowHeight="14169" tabRatio="993" xr2:uid="{00000000-000D-0000-FFFF-FFFF00000000}"/>
  </bookViews>
  <sheets>
    <sheet name="Res" sheetId="34" r:id="rId1"/>
    <sheet name="6N Tab" sheetId="31" r:id="rId2"/>
    <sheet name="6N Res" sheetId="33" r:id="rId3"/>
    <sheet name="6N Cds" sheetId="32" r:id="rId4"/>
    <sheet name="P4 Tab" sheetId="45" r:id="rId5"/>
    <sheet name="P4 Res" sheetId="46" r:id="rId6"/>
    <sheet name="P4 Cds" sheetId="47" r:id="rId7"/>
    <sheet name="WC Tabs" sheetId="48" r:id="rId8"/>
    <sheet name="WC Res" sheetId="49" r:id="rId9"/>
    <sheet name="WC Stats" sheetId="54" r:id="rId10"/>
    <sheet name="WC Cds" sheetId="50" r:id="rId11"/>
    <sheet name="AUS" sheetId="35" r:id="rId12"/>
    <sheet name="BRA" sheetId="53" r:id="rId13"/>
    <sheet name="CAN" sheetId="38" r:id="rId14"/>
    <sheet name="ENG" sheetId="11" r:id="rId15"/>
    <sheet name="FIJ" sheetId="36" r:id="rId16"/>
    <sheet name="FRA" sheetId="13" r:id="rId17"/>
    <sheet name="IRE" sheetId="16" r:id="rId18"/>
    <sheet name="ITA" sheetId="17" r:id="rId19"/>
    <sheet name="JPN" sheetId="37" r:id="rId20"/>
    <sheet name="NZL" sheetId="40" r:id="rId21"/>
    <sheet name="SAM" sheetId="52" r:id="rId22"/>
    <sheet name="SCO" sheetId="25" r:id="rId23"/>
    <sheet name="RSA" sheetId="41" r:id="rId24"/>
    <sheet name="ESP" sheetId="51" r:id="rId25"/>
    <sheet name="USA" sheetId="39" r:id="rId26"/>
    <sheet name="WAL" sheetId="30" r:id="rId27"/>
  </sheets>
  <externalReferences>
    <externalReference r:id="rId28"/>
    <externalReference r:id="rId29"/>
    <externalReference r:id="rId30"/>
    <externalReference r:id="rId31"/>
  </externalReferences>
  <definedNames>
    <definedName name="alltestshistlost">#REF!</definedName>
    <definedName name="alltestshistwon">#REF!</definedName>
    <definedName name="arg2019dg">#REF!</definedName>
    <definedName name="arg2019drawn">#REF!</definedName>
    <definedName name="arg2019lost">#REF!</definedName>
    <definedName name="arg2019played">#REF!</definedName>
    <definedName name="arg2019ptsconc">#REF!</definedName>
    <definedName name="arg2019ptsscored">#REF!</definedName>
    <definedName name="arg2019rwcdrawn">#REF!</definedName>
    <definedName name="arg2019rwclost">#REF!</definedName>
    <definedName name="arg2019rwcplayed">#REF!</definedName>
    <definedName name="arg2019rwcptsconc">#REF!</definedName>
    <definedName name="arg2019rwcptsscored">#REF!</definedName>
    <definedName name="arg2019rwcrc">#REF!</definedName>
    <definedName name="arg2019rwctriesconc">#REF!</definedName>
    <definedName name="arg2019rwctriesscored">#REF!</definedName>
    <definedName name="arg2019rwcwon">#REF!</definedName>
    <definedName name="arg2019rwcyc">#REF!</definedName>
    <definedName name="arg2019triesconc">#REF!</definedName>
    <definedName name="arg2019triesscored">#REF!</definedName>
    <definedName name="arg2019won">#REF!</definedName>
    <definedName name="Argentinaalltestsdrawn">#REF!</definedName>
    <definedName name="Argentinaalltestslost">#REF!</definedName>
    <definedName name="Argentinaalltestsplayed">#REF!</definedName>
    <definedName name="Argentinaalltestsptsagainst">#REF!</definedName>
    <definedName name="Argentinaalltestsptsscored">#REF!</definedName>
    <definedName name="Argentinaallteststriesscored">#REF!</definedName>
    <definedName name="Argentinaalltestswon">#REF!</definedName>
    <definedName name="ArgentinaWChistdrawn">#REF!</definedName>
    <definedName name="ArgentinaWChistlost">#REF!</definedName>
    <definedName name="ArgentinaWChistplayed">#REF!</definedName>
    <definedName name="ArgentinaWChistptsagainst">#REF!</definedName>
    <definedName name="ArgentinaWChistptsscored">#REF!</definedName>
    <definedName name="ArgentinaWChisttriesscored">#REF!</definedName>
    <definedName name="ArgentinaWChistwon">#REF!</definedName>
    <definedName name="argoveralllb">#REF!</definedName>
    <definedName name="argoverallptsag">#REF!</definedName>
    <definedName name="argoverallptsfor">#REF!</definedName>
    <definedName name="argoverallreds">#REF!</definedName>
    <definedName name="argoveralltb">#REF!</definedName>
    <definedName name="argoveralltbcon">#REF!</definedName>
    <definedName name="argoveralltries">#REF!</definedName>
    <definedName name="argoveralltriescon">#REF!</definedName>
    <definedName name="argoverallyellows">#REF!</definedName>
    <definedName name="ArgPool2019drawn">#REF!</definedName>
    <definedName name="ArgPool2019lost">#REF!</definedName>
    <definedName name="ArgPool2019won">#REF!</definedName>
    <definedName name="ArgPoolagainst">#REF!</definedName>
    <definedName name="Argpooldrawn">#REF!</definedName>
    <definedName name="ArgPoolfor">#REF!</definedName>
    <definedName name="Argpoollb">#REF!</definedName>
    <definedName name="ArgPoollbfor">#REF!</definedName>
    <definedName name="argpoollbscored">#REF!</definedName>
    <definedName name="Argpoollost">#REF!</definedName>
    <definedName name="ArgPoolplayed">#REF!</definedName>
    <definedName name="Argpoolpld">#REF!</definedName>
    <definedName name="Argpoolptsag">#REF!</definedName>
    <definedName name="Argpoolreds">#REF!</definedName>
    <definedName name="Argpooltb">#REF!</definedName>
    <definedName name="ArgPooltbagainst">#REF!</definedName>
    <definedName name="Argpooltbcon">#REF!</definedName>
    <definedName name="ArgPooltbfor">#REF!</definedName>
    <definedName name="argpooltbscored">#REF!</definedName>
    <definedName name="ArgPooltriesagainst">#REF!</definedName>
    <definedName name="Argpooltriescon">#REF!</definedName>
    <definedName name="argpooltriesconcorrect">#REF!</definedName>
    <definedName name="Argpooltriesfor">#REF!</definedName>
    <definedName name="ArgPooltriesscored">#REF!</definedName>
    <definedName name="argpooltriesscoredcorrect">#REF!</definedName>
    <definedName name="Argpoolwon">#REF!</definedName>
    <definedName name="Argpoolyellows">#REF!</definedName>
    <definedName name="Argptsfor">#REF!</definedName>
    <definedName name="Aus2019pooldrawn">#REF!</definedName>
    <definedName name="Aus2019poollbcon">#REF!</definedName>
    <definedName name="Aus2019poollbscored">#REF!</definedName>
    <definedName name="Aus2019poollost">#REF!</definedName>
    <definedName name="Aus2019poolplayed">#REF!</definedName>
    <definedName name="Aus2019poolptsagainst">#REF!</definedName>
    <definedName name="Aus2019poolptsscored">#REF!</definedName>
    <definedName name="Aus2019pooltbcon">#REF!</definedName>
    <definedName name="Aus2019pooltbscored">#REF!</definedName>
    <definedName name="Aus2019pooltriesconc">#REF!</definedName>
    <definedName name="Aus2019pooltriesscored">#REF!</definedName>
    <definedName name="Aus2019poolwon">#REF!</definedName>
    <definedName name="Aus2019rwcdrawn">#REF!</definedName>
    <definedName name="Aus2019rwclost">#REF!</definedName>
    <definedName name="Aus2019rwclostcorrect">#REF!</definedName>
    <definedName name="Aus2019rwcplayed">#REF!</definedName>
    <definedName name="Aus2019rwcptsagainst">#REF!</definedName>
    <definedName name="Aus2019rwcptsscored">#REF!</definedName>
    <definedName name="Aus2019rwcrc">#REF!</definedName>
    <definedName name="Aus2019rwctriesconc">#REF!</definedName>
    <definedName name="Aus2019rwctriesscored">#REF!</definedName>
    <definedName name="Aus2019rwcwon">#REF!</definedName>
    <definedName name="Aus2019rwcyc">#REF!</definedName>
    <definedName name="aus2021wcpooldrawn">AUS!#REF!</definedName>
    <definedName name="aus2021wcpoollbscored">AUS!#REF!</definedName>
    <definedName name="aus2021wcpoollost">AUS!#REF!</definedName>
    <definedName name="aus2021wcpoolplayed">AUS!#REF!</definedName>
    <definedName name="aus2021wcpoolpointsagainst">AUS!#REF!</definedName>
    <definedName name="aus2021wcpoolpointsscored">AUS!#REF!</definedName>
    <definedName name="Aus2021wcpooltbscored">AUS!#REF!</definedName>
    <definedName name="aus2021wcpooltriesconceded">AUS!#REF!</definedName>
    <definedName name="aus2021wcpooltriesscored">AUS!#REF!</definedName>
    <definedName name="aus2021wcpoolwon">AUS!#REF!</definedName>
    <definedName name="aus2021wcrc">AUS!#REF!</definedName>
    <definedName name="aus2021wcrccorrect">AUS!#REF!</definedName>
    <definedName name="aus2021wctbcon">AUS!#REF!</definedName>
    <definedName name="aus2021wcyc">AUS!#REF!</definedName>
    <definedName name="ausbp">#REF!</definedName>
    <definedName name="ausd">#REF!</definedName>
    <definedName name="ausl">#REF!</definedName>
    <definedName name="auslb">#REF!</definedName>
    <definedName name="auslbcon">#REF!</definedName>
    <definedName name="ausoveralldrawn">#REF!</definedName>
    <definedName name="ausoveralllost">#REF!</definedName>
    <definedName name="ausoverallpld">#REF!</definedName>
    <definedName name="ausoverallptsaga">#REF!</definedName>
    <definedName name="ausoverallptsfor">#REF!</definedName>
    <definedName name="ausoveralltriescon">#REF!</definedName>
    <definedName name="ausoveralltriesscored">#REF!</definedName>
    <definedName name="ausoverallwon">#REF!</definedName>
    <definedName name="ausp4drawn">AUS!$AB$14</definedName>
    <definedName name="ausp4lb">AUS!$I$14</definedName>
    <definedName name="ausp4lost">AUS!$AC$14</definedName>
    <definedName name="ausp4played">AUS!$Z$14</definedName>
    <definedName name="ausp4ptsconc">AUS!$G$14</definedName>
    <definedName name="ausp4ptsscored">AUS!$F$14</definedName>
    <definedName name="ausp4rc">AUS!$O$14</definedName>
    <definedName name="ausp4tb">AUS!$H$14</definedName>
    <definedName name="ausp4triesconc">AUS!$R$14</definedName>
    <definedName name="ausp4triesscored">AUS!$J$14</definedName>
    <definedName name="ausp4won">AUS!$AA$14</definedName>
    <definedName name="ausp4yc">AUS!$N$14</definedName>
    <definedName name="auspl">#REF!</definedName>
    <definedName name="auspooldrawn">#REF!</definedName>
    <definedName name="auspoollb">#REF!</definedName>
    <definedName name="auspoollost">#REF!</definedName>
    <definedName name="auspoolpld">#REF!</definedName>
    <definedName name="auspoolptsag">#REF!</definedName>
    <definedName name="auspoolptsfor">#REF!</definedName>
    <definedName name="auspooltb">#REF!</definedName>
    <definedName name="auspooltriescon">#REF!</definedName>
    <definedName name="auspooltriesscored">#REF!</definedName>
    <definedName name="auspoolwon">#REF!</definedName>
    <definedName name="ausptsa">#REF!</definedName>
    <definedName name="ausptsf">#REF!</definedName>
    <definedName name="ausred">#REF!</definedName>
    <definedName name="austb">#REF!</definedName>
    <definedName name="austbcon">#REF!</definedName>
    <definedName name="austra">#REF!</definedName>
    <definedName name="australiaalltests2019drawn">#REF!</definedName>
    <definedName name="australiaalltests2019lost">#REF!</definedName>
    <definedName name="australiaalltests2019played">#REF!</definedName>
    <definedName name="australiaalltests2019playedcorrect">#REF!</definedName>
    <definedName name="australiaalltests2019ptsagainst">#REF!</definedName>
    <definedName name="australiaalltests2019ptsscored">#REF!</definedName>
    <definedName name="australiaalltests2019triesconc">#REF!</definedName>
    <definedName name="australiaalltests2019triesscored">#REF!</definedName>
    <definedName name="australiaalltests2019won">#REF!</definedName>
    <definedName name="Australiaalltestshistdrawn">#REF!</definedName>
    <definedName name="Australiaalltestshistlost">#REF!</definedName>
    <definedName name="Australiaalltestshistplayed">#REF!</definedName>
    <definedName name="Australiaalltestshistptsagainst">#REF!</definedName>
    <definedName name="Australiaalltestshistptsscored">#REF!</definedName>
    <definedName name="Australiaalltestshisttriesscored">#REF!</definedName>
    <definedName name="Australiaalltestshistwon">#REF!</definedName>
    <definedName name="AustraliaWChistdrawn">#REF!</definedName>
    <definedName name="AustraliaWChistlost">#REF!</definedName>
    <definedName name="AustraliaWChistplayed">#REF!</definedName>
    <definedName name="AustraliaWChistptsagainst">#REF!</definedName>
    <definedName name="AustraliaWChistptsscored">#REF!</definedName>
    <definedName name="AustraliaWChisttriesscored">#REF!</definedName>
    <definedName name="AustraliaWChistwon">#REF!</definedName>
    <definedName name="austrf">#REF!</definedName>
    <definedName name="auswon">#REF!</definedName>
    <definedName name="ausyellow">#REF!</definedName>
    <definedName name="bathbonus">#REF!</definedName>
    <definedName name="bathbonusccorrect">#REF!</definedName>
    <definedName name="bathconceded">#REF!</definedName>
    <definedName name="bathdrawn">#REF!</definedName>
    <definedName name="bathdropgoals">#REF!</definedName>
    <definedName name="bathlost">#REF!</definedName>
    <definedName name="bathpld">#REF!</definedName>
    <definedName name="bathpodrawn">#REF!</definedName>
    <definedName name="bathpolost">#REF!</definedName>
    <definedName name="bathpopld">#REF!</definedName>
    <definedName name="bathpoptsconceded">#REF!</definedName>
    <definedName name="bathpoptsscored">#REF!</definedName>
    <definedName name="bathpored">#REF!</definedName>
    <definedName name="bathpotriesconceded">#REF!</definedName>
    <definedName name="bathpotriesscored">#REF!</definedName>
    <definedName name="bathpowon">#REF!</definedName>
    <definedName name="bathpoyellow">#REF!</definedName>
    <definedName name="bathred">#REF!</definedName>
    <definedName name="bathscored">#REF!</definedName>
    <definedName name="bathtriesconceded">#REF!</definedName>
    <definedName name="bathtriesscored">#REF!</definedName>
    <definedName name="bathtrybonus">#REF!</definedName>
    <definedName name="bathtrybonusconceded">#REF!</definedName>
    <definedName name="bathwon">#REF!</definedName>
    <definedName name="bathyellow">#REF!</definedName>
    <definedName name="Bristolpremseasontotalsdgs">[1]BRI!$L$38</definedName>
    <definedName name="Bristolpremseasontotalsdrawn">[1]BRI!$AA$38</definedName>
    <definedName name="Bristolpremseasontotalslost">[1]BRI!$AB$38</definedName>
    <definedName name="Bristolpremseasontotalsplayed">[1]BRI!$Y$38</definedName>
    <definedName name="Bristolpremseasontotalsptsagainst">[1]BRI!$G$38</definedName>
    <definedName name="Bristolpremseasontotalsptsscored">[1]BRI!$F$38</definedName>
    <definedName name="BristolpremseasontotalsRC">[1]BRI!$O$38</definedName>
    <definedName name="Bristolpremseasontotalstriesconceded">[1]BRI!$R$38</definedName>
    <definedName name="Bristolpremseasontotalstriesscored">[1]BRI!$J$38</definedName>
    <definedName name="Bristolpremseasontotalswon">[1]BRI!$Z$38</definedName>
    <definedName name="BristolpremseasontotalsYC">[1]BRI!$N$38</definedName>
    <definedName name="bstred">[2]BRI!$O$35</definedName>
    <definedName name="bsttrybonusconceded">[1]BRI!$P$36</definedName>
    <definedName name="bsttrybonusscored">[1]BRI!$H$36</definedName>
    <definedName name="bstyellow">[2]BRI!$N$35</definedName>
    <definedName name="Bthhistagainst">[1]Sum!$H$3</definedName>
    <definedName name="Bthhistdrawn">[1]Sum!$E$3</definedName>
    <definedName name="Bthhistfor">[1]Sum!$G$3</definedName>
    <definedName name="Bthhistlost">[1]Sum!$D$3</definedName>
    <definedName name="Bthhistplayed">[1]Sum!$B$3</definedName>
    <definedName name="Bthhisttriesscored">[1]Sum!$J$3</definedName>
    <definedName name="Bthhistwon">[1]Sum!$C$3</definedName>
    <definedName name="bthpremseasontotalsdgs">[1]BTH!$L$37</definedName>
    <definedName name="bthpremseasontotalslost">[1]BTH!$AB$37</definedName>
    <definedName name="bthpremseasontotalsplayed">[1]BTH!$Y$37</definedName>
    <definedName name="bthpremseasontotalsptsagainst">[1]BTH!$G$37</definedName>
    <definedName name="bthpremseasontotalsptsscored">[1]BTH!$F$37</definedName>
    <definedName name="bthpremseasontotalsRC">[1]BTH!$O$37</definedName>
    <definedName name="bthpremseasontotalstriesconceded">[1]BTH!$R$37</definedName>
    <definedName name="bthpremseasontotalstriesscored">[1]BTH!$J$37</definedName>
    <definedName name="bthpremseasontotalswon">[1]BTH!$Y$37</definedName>
    <definedName name="bthpremseasontotalsYC">[1]BTH!$N$37</definedName>
    <definedName name="can2019alltestsdrawn">#REF!</definedName>
    <definedName name="can2019alltestslost">#REF!</definedName>
    <definedName name="can2019alltestsplayed">#REF!</definedName>
    <definedName name="can2019alltestsptsagainst">#REF!</definedName>
    <definedName name="can2019alltestsptsscored">#REF!</definedName>
    <definedName name="can2019allteststriescon">#REF!</definedName>
    <definedName name="can2019allteststriesscored">#REF!</definedName>
    <definedName name="can2019alltestswon">#REF!</definedName>
    <definedName name="can2019pooldrawn">#REF!</definedName>
    <definedName name="can2019poollbcon">#REF!</definedName>
    <definedName name="can2019poollbscored">#REF!</definedName>
    <definedName name="can2019poollost">#REF!</definedName>
    <definedName name="can2019poolplayed">#REF!</definedName>
    <definedName name="can2019poolptsagainst">#REF!</definedName>
    <definedName name="can2019poolptsscored">#REF!</definedName>
    <definedName name="can2019pooltbcon">#REF!</definedName>
    <definedName name="can2019pooltbscored">#REF!</definedName>
    <definedName name="can2019pooltriescon">#REF!</definedName>
    <definedName name="can2019pooltriesscored">#REF!</definedName>
    <definedName name="can2019pooltriesscoredcorrect">#REF!</definedName>
    <definedName name="can2019poolwon">#REF!</definedName>
    <definedName name="can2019rwcdrawn">#REF!</definedName>
    <definedName name="can2019rwclost">#REF!</definedName>
    <definedName name="can2019rwcplayed">#REF!</definedName>
    <definedName name="can2019rwcptsagainst">#REF!</definedName>
    <definedName name="can2019rwcptsscored">#REF!</definedName>
    <definedName name="can2019rwcrc">#REF!</definedName>
    <definedName name="can2019rwctriescon">#REF!</definedName>
    <definedName name="can2019rwctriesscored">#REF!</definedName>
    <definedName name="can2019rwcwon">#REF!</definedName>
    <definedName name="can2019rwcyc">#REF!</definedName>
    <definedName name="can2021wcpooldrawn">CAN!#REF!</definedName>
    <definedName name="can2021wcpoollbscored">CAN!#REF!</definedName>
    <definedName name="can2021wcpoollost">CAN!#REF!</definedName>
    <definedName name="can2021wcpoolplayed">CAN!#REF!</definedName>
    <definedName name="can2021wcpoolpointsagainst">CAN!#REF!</definedName>
    <definedName name="can2021wcpoolpointsscored">CAN!#REF!</definedName>
    <definedName name="can2021wcpooltbscored">CAN!#REF!</definedName>
    <definedName name="can2021wcpooltriesconceded">CAN!#REF!</definedName>
    <definedName name="can2021wcpooltriesscored">CAN!#REF!</definedName>
    <definedName name="can2021wcpoolwon">CAN!#REF!</definedName>
    <definedName name="can2021wcrc">CAN!#REF!</definedName>
    <definedName name="can2021wctbcon">CAN!#REF!</definedName>
    <definedName name="can2021wcyc">CAN!#REF!</definedName>
    <definedName name="Canadaalltestshistdrawn">#REF!</definedName>
    <definedName name="Canadaalltestshistlost">#REF!</definedName>
    <definedName name="Canadaalltestshistplayed">#REF!</definedName>
    <definedName name="Canadaalltestshistptsagainst">#REF!</definedName>
    <definedName name="Canadaalltestshistptsscored">#REF!</definedName>
    <definedName name="Canadaalltestshisttriesscored">#REF!</definedName>
    <definedName name="Canadaalltestshistwon">#REF!</definedName>
    <definedName name="CanadaRWChistdrawn">#REF!</definedName>
    <definedName name="CanadaRWChistlost">#REF!</definedName>
    <definedName name="CanadaRWChistplayed">#REF!</definedName>
    <definedName name="CanadaRWChistptsagainst">#REF!</definedName>
    <definedName name="CanadaRWChistptsscored">#REF!</definedName>
    <definedName name="CanadaRWChisttriesscored">#REF!</definedName>
    <definedName name="CanadaRWChistwon">#REF!</definedName>
    <definedName name="canlb">#REF!</definedName>
    <definedName name="canlbcon">#REF!</definedName>
    <definedName name="canoveralldrwn">#REF!</definedName>
    <definedName name="canoveralllost">#REF!</definedName>
    <definedName name="canoverallpld">#REF!</definedName>
    <definedName name="canoverallptsag">#REF!</definedName>
    <definedName name="canoverallptsscored">#REF!</definedName>
    <definedName name="canoveralltriescon">#REF!</definedName>
    <definedName name="canoveralltriesscored">#REF!</definedName>
    <definedName name="canoverallwon">#REF!</definedName>
    <definedName name="canp4drawn">CAN!$AB$16</definedName>
    <definedName name="canp4lb">CAN!$I$16</definedName>
    <definedName name="canp4lost">CAN!$AC$16</definedName>
    <definedName name="canp4played">CAN!$Z$16</definedName>
    <definedName name="canp4ptsconc">CAN!$G$16</definedName>
    <definedName name="canp4ptsscored">CAN!$F$16</definedName>
    <definedName name="canp4rc">CAN!$O$16</definedName>
    <definedName name="canp4tb">CAN!$H$16</definedName>
    <definedName name="canp4triesconc">CAN!$R$16</definedName>
    <definedName name="canp4triesscored">CAN!$J$16</definedName>
    <definedName name="canp4won">CAN!$AA$16</definedName>
    <definedName name="canp4yc">CAN!$N$16</definedName>
    <definedName name="canpooldrawn">#REF!</definedName>
    <definedName name="canpoollost">#REF!</definedName>
    <definedName name="canpoolpld">#REF!</definedName>
    <definedName name="canpoolptsag">#REF!</definedName>
    <definedName name="canpoolptsscored">#REF!</definedName>
    <definedName name="canpooltriescon">#REF!</definedName>
    <definedName name="canpooltriesscored">#REF!</definedName>
    <definedName name="canpoolwoin">#REF!</definedName>
    <definedName name="canred">#REF!</definedName>
    <definedName name="cantb">#REF!</definedName>
    <definedName name="cantbcon">#REF!</definedName>
    <definedName name="canyellow">#REF!</definedName>
    <definedName name="drawn">#REF!</definedName>
    <definedName name="Eng2019alltestsdrawn">ENG!$AB$18</definedName>
    <definedName name="Eng2019alltestslost">ENG!$AC$18</definedName>
    <definedName name="Eng2019alltestsplayed">ENG!$Z$18</definedName>
    <definedName name="Eng2019alltestsptsagainst">ENG!$G$18</definedName>
    <definedName name="Eng2019alltestsptsscored">ENG!$F$18</definedName>
    <definedName name="Eng2019allteststriescon">ENG!$R$18</definedName>
    <definedName name="Eng2019allteststriesscored">ENG!$J$18</definedName>
    <definedName name="Eng2019alltestswon">ENG!$AA$18</definedName>
    <definedName name="Eng2019pooldrawn">ENG!#REF!</definedName>
    <definedName name="Eng2019poollbcon">ENG!#REF!</definedName>
    <definedName name="Eng2019poollbscored">ENG!#REF!</definedName>
    <definedName name="Eng2019poollost">ENG!#REF!</definedName>
    <definedName name="Eng2019poolplayed">ENG!#REF!</definedName>
    <definedName name="Eng2019poolptsagainst">ENG!#REF!</definedName>
    <definedName name="Eng2019poolptsscored">ENG!#REF!</definedName>
    <definedName name="Eng2019pooltbcon">ENG!#REF!</definedName>
    <definedName name="Eng2019pooltbscored">ENG!#REF!</definedName>
    <definedName name="Eng2019pooltriescon">ENG!#REF!</definedName>
    <definedName name="Eng2019pooltriesscored">ENG!#REF!</definedName>
    <definedName name="Eng2019poolwon">ENG!#REF!</definedName>
    <definedName name="Eng2019RWCdrawn">ENG!#REF!</definedName>
    <definedName name="Eng2019RWClost">ENG!#REF!</definedName>
    <definedName name="Eng2019RWCplayed">ENG!#REF!</definedName>
    <definedName name="Eng2019RWCptsagainst">ENG!#REF!</definedName>
    <definedName name="Eng2019RWCptsscored">ENG!#REF!</definedName>
    <definedName name="Eng2019RWCrc">ENG!#REF!</definedName>
    <definedName name="Eng2019RWCtriescon">ENG!#REF!</definedName>
    <definedName name="Eng2019RWCtriesscored">ENG!#REF!</definedName>
    <definedName name="Eng2019RWCwon">ENG!#REF!</definedName>
    <definedName name="Eng2019RWCyc">ENG!#REF!</definedName>
    <definedName name="eng2021wcpooldrawn">ENG!#REF!</definedName>
    <definedName name="eng2021wcpoollbscored">ENG!#REF!</definedName>
    <definedName name="eng2021wcpoollost">ENG!#REF!</definedName>
    <definedName name="eng2021wcpoolplayed">ENG!#REF!</definedName>
    <definedName name="eng2021wcpoolpointsagainst">ENG!#REF!</definedName>
    <definedName name="eng2021wcpoolpointsscored">ENG!#REF!</definedName>
    <definedName name="eng2021wcpooltbscored">ENG!#REF!</definedName>
    <definedName name="eng2021wcpooltriesconceded">ENG!#REF!</definedName>
    <definedName name="eng2021wcpooltriesscored">ENG!#REF!</definedName>
    <definedName name="eng2021wcpoolwon">ENG!#REF!</definedName>
    <definedName name="eng2021wcrc">ENG!#REF!</definedName>
    <definedName name="eng2021wctbcon">ENG!#REF!</definedName>
    <definedName name="eng2021wcyc">ENG!#REF!</definedName>
    <definedName name="eng6nrc">ENG!$O$16</definedName>
    <definedName name="eng6nyc">ENG!$N$16</definedName>
    <definedName name="Englandalltestshistdrawn">#REF!</definedName>
    <definedName name="Englandalltestshistlost">#REF!</definedName>
    <definedName name="Englandalltestshistplayed">#REF!</definedName>
    <definedName name="Englandalltestshistptsagainst">#REF!</definedName>
    <definedName name="Englandalltestshistptsscored">#REF!</definedName>
    <definedName name="Englandalltestshisttriesscored">#REF!</definedName>
    <definedName name="Englandalltestshistwon">#REF!</definedName>
    <definedName name="Englanddrawn">ENG!$AB$16</definedName>
    <definedName name="Englandlosingbonus">ENG!$I$16</definedName>
    <definedName name="Englandlost">ENG!$AC$16</definedName>
    <definedName name="Englandplayed">ENG!$Z$16</definedName>
    <definedName name="Englandptsagainst">ENG!$G$16</definedName>
    <definedName name="Englandptsscored">ENG!$F$16</definedName>
    <definedName name="Englandred">ENG!$O$16</definedName>
    <definedName name="EnglandRWChistdrawn">#REF!</definedName>
    <definedName name="EnglandRWChistlost">#REF!</definedName>
    <definedName name="EnglandRWChistplayed">#REF!</definedName>
    <definedName name="EnglandRWChistptsagainst">#REF!</definedName>
    <definedName name="EnglandRWChistptsscored">#REF!</definedName>
    <definedName name="EnglandRWChisttriesscored">#REF!</definedName>
    <definedName name="EnglandRWChistwon">#REF!</definedName>
    <definedName name="Englandtriesagainst">ENG!$R$16</definedName>
    <definedName name="Englandtriesscored">ENG!$J$16</definedName>
    <definedName name="Englandtrybonus">ENG!$H$16</definedName>
    <definedName name="Englandwon">ENG!$AA$16</definedName>
    <definedName name="Englandyellow">ENG!$N$16</definedName>
    <definedName name="englb">ENG!#REF!</definedName>
    <definedName name="englbcon">ENG!#REF!</definedName>
    <definedName name="engoveralldrawn">ENG!#REF!</definedName>
    <definedName name="engoveralllost">ENG!#REF!</definedName>
    <definedName name="engoverallpld">ENG!#REF!</definedName>
    <definedName name="engoverallptsag">ENG!#REF!</definedName>
    <definedName name="engoverallptsscored">ENG!#REF!</definedName>
    <definedName name="engoveralltriescon">ENG!#REF!</definedName>
    <definedName name="engoveralltriesscored">ENG!#REF!</definedName>
    <definedName name="engoverallwon">ENG!#REF!</definedName>
    <definedName name="engpooldrawn">ENG!#REF!</definedName>
    <definedName name="engpoollost">ENG!#REF!</definedName>
    <definedName name="engpoolpld">ENG!#REF!</definedName>
    <definedName name="engpoolptsag">ENG!#REF!</definedName>
    <definedName name="engpoolptsscored">ENG!#REF!</definedName>
    <definedName name="engpooltriescon">ENG!#REF!</definedName>
    <definedName name="engpooltriesscored">ENG!#REF!</definedName>
    <definedName name="engpoolwon">ENG!#REF!</definedName>
    <definedName name="engred">ENG!#REF!</definedName>
    <definedName name="engtb">ENG!#REF!</definedName>
    <definedName name="engtbcon">ENG!#REF!</definedName>
    <definedName name="engtriescon">ENG!#REF!</definedName>
    <definedName name="engyellow">ENG!#REF!</definedName>
    <definedName name="Exepremtotalsdgs">[1]EXE!$L$39</definedName>
    <definedName name="Exepremtotalslost">[1]EXE!$AB$39</definedName>
    <definedName name="Exepremtotalsplayed">[1]EXE!$Y$39</definedName>
    <definedName name="Exepremtotalsptsagainst">[1]EXE!$G$39</definedName>
    <definedName name="Exepremtotalsptsscored">[1]EXE!$F$39</definedName>
    <definedName name="Exepremtotalsrc">[1]EXE!$O$39</definedName>
    <definedName name="Exepremtotalstriesconceded">[1]EXE!$R$39</definedName>
    <definedName name="Exepremtotalstriesscored">[1]EXE!$J$39</definedName>
    <definedName name="Exepremtotalswon">[1]EXE!$Z$39</definedName>
    <definedName name="Exepremtotalsyc">[1]EXE!$N$39</definedName>
    <definedName name="exeterbonus">#REF!</definedName>
    <definedName name="exeterconceded">#REF!</definedName>
    <definedName name="exeterdrawn">#REF!</definedName>
    <definedName name="exeterlosingbonus">#REF!</definedName>
    <definedName name="exeterlosingbonusconceded">#REF!</definedName>
    <definedName name="exeterlost">#REF!</definedName>
    <definedName name="exeterpld">#REF!</definedName>
    <definedName name="exeterpremdrawn">[1]EXE!$AA$37</definedName>
    <definedName name="exeterpremred">[2]EXE!$O$39</definedName>
    <definedName name="exeterpremtrybonusconc">[1]EXE!$P$37</definedName>
    <definedName name="exeterpremtrybonusscored">[1]EXE!$H$37</definedName>
    <definedName name="exeterpremyellow">[2]EXE!$N$39</definedName>
    <definedName name="exeterred">#REF!</definedName>
    <definedName name="exeterscored">#REF!</definedName>
    <definedName name="exetertriesconceded">#REF!</definedName>
    <definedName name="exetertriesscored">#REF!</definedName>
    <definedName name="exetertrybonusconceded">#REF!</definedName>
    <definedName name="exetertrybonusscored">#REF!</definedName>
    <definedName name="exeterwon">#REF!</definedName>
    <definedName name="exeteryellow">#REF!</definedName>
    <definedName name="feapoolptsag">FRA!#REF!</definedName>
    <definedName name="Fij2019alltestsdrawn">#REF!</definedName>
    <definedName name="Fij2019alltestslost">#REF!</definedName>
    <definedName name="Fij2019alltestsplayed">#REF!</definedName>
    <definedName name="Fij2019alltestsptsagainst">#REF!</definedName>
    <definedName name="Fij2019alltestsptsscored">#REF!</definedName>
    <definedName name="Fij2019allteststriescon">#REF!</definedName>
    <definedName name="Fij2019allteststriesscored">#REF!</definedName>
    <definedName name="Fij2019alltestswon">#REF!</definedName>
    <definedName name="Fij2019pooldrawn">#REF!</definedName>
    <definedName name="Fij2019poollbcon">#REF!</definedName>
    <definedName name="Fij2019poollbscored">#REF!</definedName>
    <definedName name="Fij2019poollost">#REF!</definedName>
    <definedName name="Fij2019poolplayed">#REF!</definedName>
    <definedName name="Fij2019poolptsagainst">#REF!</definedName>
    <definedName name="Fij2019poolptsscored">#REF!</definedName>
    <definedName name="Fij2019pooltbcon">#REF!</definedName>
    <definedName name="Fij2019pooltbscored">#REF!</definedName>
    <definedName name="Fij2019pooltriescon">#REF!</definedName>
    <definedName name="Fij2019pooltriesscored">#REF!</definedName>
    <definedName name="Fij2019poolwon">#REF!</definedName>
    <definedName name="Fij2019RWCdrawn">#REF!</definedName>
    <definedName name="Fij2019RWClost">#REF!</definedName>
    <definedName name="Fij2019RWCplayed">#REF!</definedName>
    <definedName name="Fij2019RWCptsagainst">#REF!</definedName>
    <definedName name="Fij2019RWCptsscored">#REF!</definedName>
    <definedName name="Fij2019RWCrc">#REF!</definedName>
    <definedName name="Fij2019RWCtriescon">#REF!</definedName>
    <definedName name="Fij2019RWCtriesscored">#REF!</definedName>
    <definedName name="Fij2019RWCwonj">#REF!</definedName>
    <definedName name="Fij2019RWCyc">#REF!</definedName>
    <definedName name="fij2021wcpooldrawn">FIJ!#REF!</definedName>
    <definedName name="fij2021wcpoollbscored">FIJ!#REF!</definedName>
    <definedName name="fij2021wcpoollost">FIJ!#REF!</definedName>
    <definedName name="fij2021wcpoolplayed">FIJ!#REF!</definedName>
    <definedName name="fij2021wcpoolpointsagainst">FIJ!#REF!</definedName>
    <definedName name="fij2021wcpoolpointsscored">FIJ!#REF!</definedName>
    <definedName name="fij2021wcpooltbscored">FIJ!#REF!</definedName>
    <definedName name="fij2021wcpooltriesconceded">FIJ!#REF!</definedName>
    <definedName name="fij2021wcpooltriesscored">FIJ!#REF!</definedName>
    <definedName name="fij2021wcpoolwon">FIJ!#REF!</definedName>
    <definedName name="fij2021wcrc">FIJ!#REF!</definedName>
    <definedName name="fij2021wctbcon">FIJ!#REF!</definedName>
    <definedName name="fij2021wcyc">FIJ!#REF!</definedName>
    <definedName name="fij2021wcyccorrect">FIJ!#REF!</definedName>
    <definedName name="Fijialltestshistdrawn">#REF!</definedName>
    <definedName name="Fijialltestshistlost">#REF!</definedName>
    <definedName name="Fijialltestshistplayed">#REF!</definedName>
    <definedName name="Fijialltestshistptsagainst">#REF!</definedName>
    <definedName name="Fijialltestshistptsscored">#REF!</definedName>
    <definedName name="Fijialltestshisttriesscored">#REF!</definedName>
    <definedName name="Fijialltestshistwon">#REF!</definedName>
    <definedName name="FijiRWChistdrawn">#REF!</definedName>
    <definedName name="FijiRWChistlost">#REF!</definedName>
    <definedName name="FijiRWChistplayed">#REF!</definedName>
    <definedName name="FijiRWChistptsagainst">#REF!</definedName>
    <definedName name="FijiRWChistptsscored">#REF!</definedName>
    <definedName name="FijiRWChisttriesscored">#REF!</definedName>
    <definedName name="FijiRWChistwon">#REF!</definedName>
    <definedName name="fijlb">#REF!</definedName>
    <definedName name="fijlbcon">#REF!</definedName>
    <definedName name="fijoveralldrawn">#REF!</definedName>
    <definedName name="fijoveralllost">#REF!</definedName>
    <definedName name="fijoverallpld">#REF!</definedName>
    <definedName name="fijoverallptsaga">#REF!</definedName>
    <definedName name="fijoverallptsscored">#REF!</definedName>
    <definedName name="fijoveralltriescon">#REF!</definedName>
    <definedName name="fijoveralltriesscored">#REF!</definedName>
    <definedName name="fijoverallwon">#REF!</definedName>
    <definedName name="Fijpooldrawn">#REF!</definedName>
    <definedName name="Fijpoollost">#REF!</definedName>
    <definedName name="Fijpoolpld">#REF!</definedName>
    <definedName name="Fijpoolptsag">#REF!</definedName>
    <definedName name="Fijpoolptsscored">#REF!</definedName>
    <definedName name="Fijpooltriescon">#REF!</definedName>
    <definedName name="Fijpooltriesscored">#REF!</definedName>
    <definedName name="Fijpoolwon">#REF!</definedName>
    <definedName name="fijred">#REF!</definedName>
    <definedName name="fijtb">#REF!</definedName>
    <definedName name="fijtbcon">#REF!</definedName>
    <definedName name="fijyellow">#REF!</definedName>
    <definedName name="Fra2019alltestsdrawn">FRA!$AB$17</definedName>
    <definedName name="Fra2019alltestslost">FRA!$AC$17</definedName>
    <definedName name="Fra2019alltestsplayed">FRA!$Z$17</definedName>
    <definedName name="Fra2019alltestsptsagainst">FRA!$G$17</definedName>
    <definedName name="Fra2019alltestsptsscored">FRA!$F$17</definedName>
    <definedName name="Fra2019allteststriescon">FRA!$R$17</definedName>
    <definedName name="Fra2019allteststriesscored">FRA!$J$17</definedName>
    <definedName name="Fra2019alltestswon">FRA!$AA$17</definedName>
    <definedName name="Fra2019pooldrawn">FRA!#REF!</definedName>
    <definedName name="Fra2019poollbcon">FRA!#REF!</definedName>
    <definedName name="Fra2019poollbscored">FRA!#REF!</definedName>
    <definedName name="Fra2019poollost">FRA!#REF!</definedName>
    <definedName name="Fra2019poolplayed">FRA!#REF!</definedName>
    <definedName name="Fra2019poolptsagainst">FRA!#REF!</definedName>
    <definedName name="Fra2019poolptsagaints">FRA!#REF!</definedName>
    <definedName name="Fra2019poolptsscored">FRA!#REF!</definedName>
    <definedName name="Fra2019pooltbcon">FRA!#REF!</definedName>
    <definedName name="Fra2019pooltbscored">FRA!#REF!</definedName>
    <definedName name="Fra2019pooltriescon">FRA!#REF!</definedName>
    <definedName name="Fra2019pooltriesscored">FRA!#REF!</definedName>
    <definedName name="Fra2019pooltriesscoredcorrect">FRA!#REF!</definedName>
    <definedName name="Fra2019poolwon">FRA!#REF!</definedName>
    <definedName name="Fra2019RWCdrawn">FRA!#REF!</definedName>
    <definedName name="Fra2019RWClost">FRA!#REF!</definedName>
    <definedName name="Fra2019RWCplayed">FRA!#REF!</definedName>
    <definedName name="Fra2019RWCptsagainst">FRA!#REF!</definedName>
    <definedName name="Fra2019RWCptsscored">FRA!#REF!</definedName>
    <definedName name="Fra2019RWCrc">FRA!#REF!</definedName>
    <definedName name="Fra2019RWCtriescon">FRA!#REF!</definedName>
    <definedName name="Fra2019RWCtriesscored">FRA!#REF!</definedName>
    <definedName name="Fra2019RWCwon">FRA!#REF!</definedName>
    <definedName name="Fra2019RWCyc">FRA!#REF!</definedName>
    <definedName name="fra2021wcpooldrawn">FRA!#REF!</definedName>
    <definedName name="fra2021wcpoollbscored">FRA!#REF!</definedName>
    <definedName name="fra2021wcpoollost">FRA!#REF!</definedName>
    <definedName name="fra2021wcpoolplayed">FRA!#REF!</definedName>
    <definedName name="fra2021wcpoolpointsagainst">FRA!#REF!</definedName>
    <definedName name="fra2021wcpoolpointsscored">FRA!#REF!</definedName>
    <definedName name="fra2021wcpooltbscored">FRA!#REF!</definedName>
    <definedName name="fra2021wcpooltriesconceded">FRA!#REF!</definedName>
    <definedName name="fra2021wcpooltriesscored">FRA!#REF!</definedName>
    <definedName name="fra2021wcpoolwon">FRA!#REF!</definedName>
    <definedName name="fra2021wcrc">FRA!#REF!</definedName>
    <definedName name="fra2021wctbcon">FRA!#REF!</definedName>
    <definedName name="fra2021wcyc">FRA!#REF!</definedName>
    <definedName name="fra6nrc">FRA!$O$15</definedName>
    <definedName name="fra6nyc">FRA!$N$15</definedName>
    <definedName name="fralb">FRA!#REF!</definedName>
    <definedName name="fralbcon">FRA!#REF!</definedName>
    <definedName name="Francealltestshistdrawn">#REF!</definedName>
    <definedName name="Francealltestshistlost">#REF!</definedName>
    <definedName name="Francealltestshistplayed">#REF!</definedName>
    <definedName name="Francealltestshistptscon">#REF!</definedName>
    <definedName name="Francealltestshistptsscored">#REF!</definedName>
    <definedName name="Francealltestshisttriesscored">#REF!</definedName>
    <definedName name="Francealltestshistwon">#REF!</definedName>
    <definedName name="Francedrawn">FRA!$AB$15</definedName>
    <definedName name="Francelosingbonus">FRA!$I$15</definedName>
    <definedName name="Francelost">FRA!$AC$15</definedName>
    <definedName name="Franceplayed">FRA!$Z$15</definedName>
    <definedName name="Franceptsagainst">FRA!$G$15</definedName>
    <definedName name="Franceptsscored">FRA!$F$15</definedName>
    <definedName name="Francered">FRA!$O$15</definedName>
    <definedName name="FranceRWChistdrawn">#REF!</definedName>
    <definedName name="FranceRWChistlost">#REF!</definedName>
    <definedName name="FranceRWChistplayed">#REF!</definedName>
    <definedName name="FranceRWChistptsagainst">#REF!</definedName>
    <definedName name="FranceRWChistptsscored">#REF!</definedName>
    <definedName name="FranceRWChisttriesscored">#REF!</definedName>
    <definedName name="FranceRWChistwon">#REF!</definedName>
    <definedName name="Francetriesagainst">FRA!$R$15</definedName>
    <definedName name="Francetriesscored">FRA!$J$15</definedName>
    <definedName name="Francetrybonus">FRA!$H$15</definedName>
    <definedName name="Francewon">FRA!$AA$15</definedName>
    <definedName name="FRanceyellow">FRA!$N$15</definedName>
    <definedName name="fraoveralldrawn">FRA!#REF!</definedName>
    <definedName name="fraoveralllost">FRA!#REF!</definedName>
    <definedName name="fraoverallpld">FRA!#REF!</definedName>
    <definedName name="fraoverallptsag">FRA!#REF!</definedName>
    <definedName name="fraoverallptsscored">FRA!#REF!</definedName>
    <definedName name="fraoveralltriescon">FRA!#REF!</definedName>
    <definedName name="fraoveralltriesscored">FRA!#REF!</definedName>
    <definedName name="fraoverallwon">FRA!#REF!</definedName>
    <definedName name="frapooldrawn">FRA!#REF!</definedName>
    <definedName name="frapoollost">FRA!#REF!</definedName>
    <definedName name="frapoolpld">FRA!#REF!</definedName>
    <definedName name="frapoolptsscored">FRA!#REF!</definedName>
    <definedName name="frapooltriescon">FRA!#REF!</definedName>
    <definedName name="frapooltriesscored">FRA!#REF!</definedName>
    <definedName name="frapoolwon">FRA!#REF!</definedName>
    <definedName name="frared">FRA!#REF!</definedName>
    <definedName name="fratb">FRA!#REF!</definedName>
    <definedName name="fratbcon">FRA!#REF!</definedName>
    <definedName name="frayellow">FRA!#REF!</definedName>
    <definedName name="g">[3]SAR!$AB$36</definedName>
    <definedName name="Geo2019alltestsdrawn">#REF!</definedName>
    <definedName name="Geo2019alltestslost">#REF!</definedName>
    <definedName name="Geo2019alltestsplayed">#REF!</definedName>
    <definedName name="Geo2019alltestsptsagainst">#REF!</definedName>
    <definedName name="Geo2019alltestsptsscored">#REF!</definedName>
    <definedName name="Geo2019allteststriesconceded">#REF!</definedName>
    <definedName name="Geo2019allteststriesscored">#REF!</definedName>
    <definedName name="Geo2019alltestswon">#REF!</definedName>
    <definedName name="Geo2019pooldrawn">#REF!</definedName>
    <definedName name="Geo2019poollbcon">#REF!</definedName>
    <definedName name="Geo2019poollbscored">#REF!</definedName>
    <definedName name="Geo2019poollost">#REF!</definedName>
    <definedName name="Geo2019poolplayed">#REF!</definedName>
    <definedName name="Geo2019poolptsagainst">#REF!</definedName>
    <definedName name="Geo2019poolptsscored">#REF!</definedName>
    <definedName name="Geo2019pooltbcon">#REF!</definedName>
    <definedName name="Geo2019pooltbscored">#REF!</definedName>
    <definedName name="Geo2019pooltriescon">#REF!</definedName>
    <definedName name="Geo2019pooltriesscored">#REF!</definedName>
    <definedName name="Geo2019poolwon">#REF!</definedName>
    <definedName name="Geo2019RWCdrawn">#REF!</definedName>
    <definedName name="Geo2019RWClost">#REF!</definedName>
    <definedName name="Geo2019RWCplayed">#REF!</definedName>
    <definedName name="Geo2019RWCptsagainst">#REF!</definedName>
    <definedName name="Geo2019RWCptsscored">#REF!</definedName>
    <definedName name="Geo2019RWCrc">#REF!</definedName>
    <definedName name="Geo2019RWCtriescon">#REF!</definedName>
    <definedName name="Geo2019RWCtriesscored">#REF!</definedName>
    <definedName name="Geo2019RWCwon">#REF!</definedName>
    <definedName name="Geo2019RWCyc">#REF!</definedName>
    <definedName name="geolb">#REF!</definedName>
    <definedName name="geolbcon">#REF!</definedName>
    <definedName name="geooveralldrawn">#REF!</definedName>
    <definedName name="geooveralllost">#REF!</definedName>
    <definedName name="geooverallpld">#REF!</definedName>
    <definedName name="geooverallptsag">#REF!</definedName>
    <definedName name="geooverallptsscored">#REF!</definedName>
    <definedName name="geooveralltriescon">#REF!</definedName>
    <definedName name="geooveralltriesscored">#REF!</definedName>
    <definedName name="geooverallwon">#REF!</definedName>
    <definedName name="geopooldrawn">#REF!</definedName>
    <definedName name="geopoollost">#REF!</definedName>
    <definedName name="geopoolpld">#REF!</definedName>
    <definedName name="geopoolptsag">#REF!</definedName>
    <definedName name="geopoolptsscored">#REF!</definedName>
    <definedName name="geopooltriescon">#REF!</definedName>
    <definedName name="geopooltriesscored">#REF!</definedName>
    <definedName name="geopoolwon">#REF!</definedName>
    <definedName name="geored">#REF!</definedName>
    <definedName name="Georgiaalltestshistdrawn">#REF!</definedName>
    <definedName name="Georgiaalltestshistlost">#REF!</definedName>
    <definedName name="Georgiaalltestshistplayed">#REF!</definedName>
    <definedName name="Georgiaalltestshistptsagainst">#REF!</definedName>
    <definedName name="Georgiaalltestshistptsscored">#REF!</definedName>
    <definedName name="Georgiaalltestshisttriesscored">#REF!</definedName>
    <definedName name="Georgiaalltestshistwon">#REF!</definedName>
    <definedName name="GeorgiaRWChistdrawn">#REF!</definedName>
    <definedName name="GeorgiaRWChistlost">#REF!</definedName>
    <definedName name="GeorgiaRWChistplayed">#REF!</definedName>
    <definedName name="GeorgiaRWChistptsagainst">#REF!</definedName>
    <definedName name="GeorgiaRWChistptsscored">#REF!</definedName>
    <definedName name="GeorgiaRWChisttriesscored">#REF!</definedName>
    <definedName name="GeorgiaRWChistwon">#REF!</definedName>
    <definedName name="geotb">#REF!</definedName>
    <definedName name="geotbcon">#REF!</definedName>
    <definedName name="geoyellow">#REF!</definedName>
    <definedName name="glosbonus">ENG!#REF!</definedName>
    <definedName name="glosconceded">ENG!#REF!</definedName>
    <definedName name="glosdrawn">ENG!#REF!</definedName>
    <definedName name="gloslosingbonus">ENG!#REF!</definedName>
    <definedName name="gloslosingbonusconceded">ENG!#REF!</definedName>
    <definedName name="gloslost">ENG!#REF!</definedName>
    <definedName name="glosplayed">ENG!#REF!</definedName>
    <definedName name="glosred">ENG!#REF!</definedName>
    <definedName name="glosscored">ENG!#REF!</definedName>
    <definedName name="glostries">ENG!#REF!</definedName>
    <definedName name="glostriesconceded">ENG!#REF!</definedName>
    <definedName name="glostrybonus">ENG!#REF!</definedName>
    <definedName name="glostrybonusconceded">ENG!#REF!</definedName>
    <definedName name="gloswon">ENG!#REF!</definedName>
    <definedName name="glosyellow">ENG!#REF!</definedName>
    <definedName name="gloucesterpremred">[2]GLO!$O$40</definedName>
    <definedName name="gloucesterpremseasontotalsdgs">[1]GLO!$L$38</definedName>
    <definedName name="gloucesterpremseasontotalsdrawn">[1]GLO!$AA$38</definedName>
    <definedName name="gloucesterpremseasontotalslost">[1]GLO!$AB$38</definedName>
    <definedName name="gloucesterpremseasontotalsplayed">[1]GLO!$Y$38</definedName>
    <definedName name="gloucesterpremseasontotalsptsagainst">[1]GLO!$G$38</definedName>
    <definedName name="gloucesterpremseasontotalsptsscored">[1]GLO!$F$38</definedName>
    <definedName name="gloucesterpremseasontotalsRC">[1]GLO!$O$38</definedName>
    <definedName name="gloucesterpremseasontotalstriesconceded">[1]GLO!$R$38</definedName>
    <definedName name="gloucesterpremseasontotalstriesscored">[1]GLO!$J$38</definedName>
    <definedName name="gloucesterpremseasontotalswon">[1]GLO!$Z$38</definedName>
    <definedName name="gloucesterpremseasontotalsYC">[1]GLO!$N$38</definedName>
    <definedName name="gloucesterpremtrybonusconc">[1]GLO!$P$36</definedName>
    <definedName name="gloucesterpremtrybonusscored">[1]GLO!$H$36</definedName>
    <definedName name="gloucesterpremyellow">[2]GLO!$N$40</definedName>
    <definedName name="harbonus">#REF!</definedName>
    <definedName name="harconceded">#REF!</definedName>
    <definedName name="hardrawn">#REF!</definedName>
    <definedName name="harlequinspremred">[2]HAR!$O$39</definedName>
    <definedName name="harlequinspremseasontotalsdgs">[1]HAR!$L$39</definedName>
    <definedName name="harlequinspremseasontotalsdrawn">[1]HAR!$AA$39</definedName>
    <definedName name="harlequinspremseasontotalslost">[1]HAR!$AB$39</definedName>
    <definedName name="harlequinspremseasontotalsplayed">[1]HAR!$Y$39</definedName>
    <definedName name="harlequinspremseasontotalsptsagainst">[1]HAR!$G$39</definedName>
    <definedName name="harlequinspremseasontotalsptsscored">[1]HAR!$F$39</definedName>
    <definedName name="harlequinspremseasontotalsRC">[1]HAR!$O$39</definedName>
    <definedName name="harlequinspremseasontotalstriesconceded">[1]HAR!$R$39</definedName>
    <definedName name="harlequinspremseasontotalstriesscored">[1]HAR!$J$39</definedName>
    <definedName name="harlequinspremseasontotalswon">[1]HAR!$Z$39</definedName>
    <definedName name="harlequinspremseasontotalsYC">[1]HAR!$N$39</definedName>
    <definedName name="harlequinspremtrybonuscon">[1]HAR!$P$37</definedName>
    <definedName name="harlequinspremtrybonusscored">[1]HAR!$H$37</definedName>
    <definedName name="harlequinspremyellow">[2]HAR!$N$39</definedName>
    <definedName name="harlosingbonus">#REF!</definedName>
    <definedName name="harlosingbonusconceded">#REF!</definedName>
    <definedName name="harlost">#REF!</definedName>
    <definedName name="harplayed">#REF!</definedName>
    <definedName name="harred">#REF!</definedName>
    <definedName name="harscored">#REF!</definedName>
    <definedName name="hartriesconceded">#REF!</definedName>
    <definedName name="hartriesscored">#REF!</definedName>
    <definedName name="hartrybonus">#REF!</definedName>
    <definedName name="hartrybonusconceded">#REF!</definedName>
    <definedName name="harwon">#REF!</definedName>
    <definedName name="haryellow">#REF!</definedName>
    <definedName name="Ire2019alltestsdrawn">IRE!$AB$16</definedName>
    <definedName name="Ire2019alltestslost">IRE!$AC$16</definedName>
    <definedName name="Ire2019alltestsplayed">IRE!$Z$16</definedName>
    <definedName name="Ire2019alltestsptscon">IRE!$G$16</definedName>
    <definedName name="Ire2019alltestsptsscored">IRE!$F$16</definedName>
    <definedName name="Ire2019allteststriescon">IRE!$R$16</definedName>
    <definedName name="Ire2019allteststriesscored">IRE!$J$16</definedName>
    <definedName name="Ire2019alltestswon">IRE!$AA$16</definedName>
    <definedName name="Ire2019pooldrawn">IRE!#REF!</definedName>
    <definedName name="Ire2019poollbcon">IRE!#REF!</definedName>
    <definedName name="Ire2019poollbscored">IRE!#REF!</definedName>
    <definedName name="Ire2019poollost">IRE!#REF!</definedName>
    <definedName name="Ire2019poolplayed">IRE!#REF!</definedName>
    <definedName name="Ire2019poolptscon">IRE!#REF!</definedName>
    <definedName name="Ire2019poolptsscored">IRE!#REF!</definedName>
    <definedName name="Ire2019pooltbcon">IRE!#REF!</definedName>
    <definedName name="Ire2019pooltbscored">IRE!#REF!</definedName>
    <definedName name="Ire2019pooltriescon">IRE!#REF!</definedName>
    <definedName name="Ire2019pooltriesscored">IRE!#REF!</definedName>
    <definedName name="Ire2019poolwon">IRE!#REF!</definedName>
    <definedName name="Ire2019RWCdrawn">IRE!#REF!</definedName>
    <definedName name="Ire2019RWClost">IRE!#REF!</definedName>
    <definedName name="Ire2019RWCplayed">IRE!#REF!</definedName>
    <definedName name="Ire2019RWCptsagainst">IRE!#REF!</definedName>
    <definedName name="Ire2019RWCptsscored">IRE!#REF!</definedName>
    <definedName name="Ire2019RWCrc">IRE!#REF!</definedName>
    <definedName name="Ire2019RWCtriescon">IRE!#REF!</definedName>
    <definedName name="Ire2019RWCtriesscored">IRE!#REF!</definedName>
    <definedName name="Ire2019RWCwon">IRE!#REF!</definedName>
    <definedName name="Ire2019RWCyc">IRE!#REF!</definedName>
    <definedName name="ire6nrc">IRE!$O$14</definedName>
    <definedName name="ire6nyc">IRE!$N$14</definedName>
    <definedName name="Irelandalltestshistdrawn">#REF!</definedName>
    <definedName name="Irelandalltestshistlost">#REF!</definedName>
    <definedName name="Irelandalltestshistplayed">#REF!</definedName>
    <definedName name="Irelandalltestshistptsagainst">#REF!</definedName>
    <definedName name="Irelandalltestshistptsscored">#REF!</definedName>
    <definedName name="Irelandalltestshisttriesscored">#REF!</definedName>
    <definedName name="Irelandalltestshistwon">#REF!</definedName>
    <definedName name="Irelanddrawn">IRE!$AB$14</definedName>
    <definedName name="Irelandlosingbonus">IRE!$I$14</definedName>
    <definedName name="Irelandlost">IRE!$AC$14</definedName>
    <definedName name="Irelandplayed">IRE!$Z$14</definedName>
    <definedName name="Irelandptsagainst">IRE!$G$14</definedName>
    <definedName name="Irelandptsscored">IRE!$F$14</definedName>
    <definedName name="Irelandred">IRE!$O$14</definedName>
    <definedName name="IrelandRWChistdrawn">#REF!</definedName>
    <definedName name="IrelandRWChistlost">#REF!</definedName>
    <definedName name="IrelandRWChistplayed">#REF!</definedName>
    <definedName name="IrelandRWChistptsagainst">#REF!</definedName>
    <definedName name="IrelandRWChistptsscored">#REF!</definedName>
    <definedName name="IrelandRWChisttriesscored">#REF!</definedName>
    <definedName name="IrelandRWChistwon">#REF!</definedName>
    <definedName name="Irelandtriesagainst">IRE!$R$14</definedName>
    <definedName name="Irelandtriesscored">IRE!$J$14</definedName>
    <definedName name="Irelandtrybonus">IRE!$H$14</definedName>
    <definedName name="Irelandwon">IRE!$AA$14</definedName>
    <definedName name="Irelandyellow">IRE!$N$14</definedName>
    <definedName name="irelb">IRE!#REF!</definedName>
    <definedName name="irelbcon">IRE!#REF!</definedName>
    <definedName name="ireoveralldrawn">IRE!#REF!</definedName>
    <definedName name="ireoveralllost">IRE!#REF!</definedName>
    <definedName name="ireoverallpld">IRE!#REF!</definedName>
    <definedName name="ireoverallptsag">IRE!#REF!</definedName>
    <definedName name="ireoverallptsscored">IRE!#REF!</definedName>
    <definedName name="ireoveralltriescon">IRE!#REF!</definedName>
    <definedName name="ireoveralltriesscored">IRE!#REF!</definedName>
    <definedName name="ireoverallwon">IRE!#REF!</definedName>
    <definedName name="irepooldrawn">IRE!#REF!</definedName>
    <definedName name="irepoollost">IRE!#REF!</definedName>
    <definedName name="irepoolpld">IRE!#REF!</definedName>
    <definedName name="irepoolptsag">IRE!#REF!</definedName>
    <definedName name="irepoolptsscored">IRE!#REF!</definedName>
    <definedName name="irepooltriescon">IRE!#REF!</definedName>
    <definedName name="irepooltriesscored">IRE!#REF!</definedName>
    <definedName name="irepoolwon">IRE!#REF!</definedName>
    <definedName name="irered">IRE!#REF!</definedName>
    <definedName name="iretb">IRE!#REF!</definedName>
    <definedName name="iretbcon">IRE!#REF!</definedName>
    <definedName name="ireyellow">IRE!#REF!</definedName>
    <definedName name="ita2019alltestsdrawn">ITA!$AB$15</definedName>
    <definedName name="ita2019alltestslost">ITA!$AC$15</definedName>
    <definedName name="ita2019alltestsplayed">ITA!$Z$15</definedName>
    <definedName name="ita2019alltestsptscon">ITA!$G$15</definedName>
    <definedName name="ita2019alltestsptsscored">ITA!$F$15</definedName>
    <definedName name="ita2019allteststriescon">ITA!$R$15</definedName>
    <definedName name="ita2019allteststriesscored">ITA!$J$15</definedName>
    <definedName name="ita2019alltestswon">ITA!$AA$15</definedName>
    <definedName name="ita2019pooldrawn">ITA!#REF!</definedName>
    <definedName name="ita2019poollbcon">ITA!#REF!</definedName>
    <definedName name="ita2019poollbscored">ITA!#REF!</definedName>
    <definedName name="ita2019poollost">ITA!#REF!</definedName>
    <definedName name="ita2019poolplayed">ITA!#REF!</definedName>
    <definedName name="ita2019poolptscon">ITA!#REF!</definedName>
    <definedName name="ita2019poolptsscored">ITA!#REF!</definedName>
    <definedName name="ita2019pooltbcon">ITA!#REF!</definedName>
    <definedName name="ita2019pooltbscored">ITA!#REF!</definedName>
    <definedName name="ita2019pooltriescon">ITA!#REF!</definedName>
    <definedName name="ita2019pooltriesscored">ITA!#REF!</definedName>
    <definedName name="ita2019poolwon">ITA!#REF!</definedName>
    <definedName name="ita2019RWCdrawn">ITA!#REF!</definedName>
    <definedName name="ita2019RWClost">ITA!#REF!</definedName>
    <definedName name="ita2019RWCplayed">ITA!#REF!</definedName>
    <definedName name="ita2019RWCptscon">ITA!#REF!</definedName>
    <definedName name="ita2019RWCptsscored">ITA!#REF!</definedName>
    <definedName name="ita2019RWCrc">ITA!#REF!</definedName>
    <definedName name="ita2019RWCtriescon">ITA!#REF!</definedName>
    <definedName name="ita2019RWCtriesscored">ITA!#REF!</definedName>
    <definedName name="ita2019RWCwon">ITA!#REF!</definedName>
    <definedName name="ita2019RWCyc">ITA!#REF!</definedName>
    <definedName name="ita2021wcpooldrawn">ITA!#REF!</definedName>
    <definedName name="ita2021wcpoollbscored">ITA!#REF!</definedName>
    <definedName name="ita2021wcpoollbscoredcorrect">ITA!#REF!</definedName>
    <definedName name="ita2021wcpoollost">ITA!#REF!</definedName>
    <definedName name="ita2021wcpoolplayed">ITA!#REF!</definedName>
    <definedName name="ita2021wcpoolpointsagainst">ITA!#REF!</definedName>
    <definedName name="ita2021wcpoolpointsscored">ITA!#REF!</definedName>
    <definedName name="ita2021wcpooltbscored">ITA!#REF!</definedName>
    <definedName name="ita2021wcpooltriesconceded">ITA!#REF!</definedName>
    <definedName name="ita2021wcpooltriesscored">ITA!#REF!</definedName>
    <definedName name="ita2021wcpoolwon">ITA!#REF!</definedName>
    <definedName name="ita2021wcrc">ITA!#REF!</definedName>
    <definedName name="ita2021wctbcon">ITA!#REF!</definedName>
    <definedName name="ita2021wcyc">ITA!#REF!</definedName>
    <definedName name="ita6nrc">ITA!$O$13</definedName>
    <definedName name="ita6nyc">ITA!$N$13</definedName>
    <definedName name="italb">ITA!#REF!</definedName>
    <definedName name="italbcon">ITA!#REF!</definedName>
    <definedName name="Italyalltestshistdrawn">#REF!</definedName>
    <definedName name="Italyalltestshistlost">#REF!</definedName>
    <definedName name="Italyalltestshistplayed">#REF!</definedName>
    <definedName name="Italyalltestshistptsagainst">#REF!</definedName>
    <definedName name="Italyalltestshistptsscored">#REF!</definedName>
    <definedName name="Italyalltestshisttriesscored">#REF!</definedName>
    <definedName name="Italyalltestshistwon">#REF!</definedName>
    <definedName name="Italydrawn">ITA!$AB$13</definedName>
    <definedName name="Italylosingbonus">ITA!$I$13</definedName>
    <definedName name="Italylost">ITA!$AC$13</definedName>
    <definedName name="Italyplayed">ITA!$Z$13</definedName>
    <definedName name="Italyptsagainst">ITA!$G$13</definedName>
    <definedName name="Italyptsscored">ITA!$F$13</definedName>
    <definedName name="Italyred">ITA!$O$13</definedName>
    <definedName name="ItalyRWChistdrawn">#REF!</definedName>
    <definedName name="ItalyRWChistlost">#REF!</definedName>
    <definedName name="ItalyRWChistplayed">#REF!</definedName>
    <definedName name="ItalyRWChistptsagainst">#REF!</definedName>
    <definedName name="ItalyRWChistptsscored">#REF!</definedName>
    <definedName name="ItalyRWChisttriesscored">#REF!</definedName>
    <definedName name="ItalyRWChistwon">#REF!</definedName>
    <definedName name="Italytriesagainst">ITA!$R$13</definedName>
    <definedName name="Italytriesscored">ITA!$J$13</definedName>
    <definedName name="Italytrybonus">ITA!$H$13</definedName>
    <definedName name="Italywon">ITA!$AA$13</definedName>
    <definedName name="Italyyellow">ITA!$N$13</definedName>
    <definedName name="itaoveralldrawn">ITA!#REF!</definedName>
    <definedName name="itaoveralllost">ITA!#REF!</definedName>
    <definedName name="itaoverallpld">ITA!#REF!</definedName>
    <definedName name="itaoverallptsag">ITA!#REF!</definedName>
    <definedName name="itaoverallptsscored">ITA!#REF!</definedName>
    <definedName name="itaoveralltriesscored">ITA!#REF!</definedName>
    <definedName name="itaoverallwon">ITA!#REF!</definedName>
    <definedName name="itapooldrawm">ITA!#REF!</definedName>
    <definedName name="itapoollost">ITA!#REF!</definedName>
    <definedName name="itapoolpld">ITA!#REF!</definedName>
    <definedName name="itapoolptsag">ITA!#REF!</definedName>
    <definedName name="itapoolptsscored">ITA!#REF!</definedName>
    <definedName name="itapooltriescon">ITA!#REF!</definedName>
    <definedName name="itapooltriesscored">ITA!#REF!</definedName>
    <definedName name="itapoolwon">ITA!#REF!</definedName>
    <definedName name="itared">ITA!#REF!</definedName>
    <definedName name="itatb">ITA!#REF!</definedName>
    <definedName name="itatbcon">ITA!#REF!</definedName>
    <definedName name="itatriescon">ITA!#REF!</definedName>
    <definedName name="itayellow">ITA!#REF!</definedName>
    <definedName name="Japanalltestshistdrawn">#REF!</definedName>
    <definedName name="Japanalltestshistlost">#REF!</definedName>
    <definedName name="Japanalltestshistplayed">#REF!</definedName>
    <definedName name="Japanalltestshistptscon">#REF!</definedName>
    <definedName name="Japanalltestshistptsscored">#REF!</definedName>
    <definedName name="Japanalltestshisttriesscored">#REF!</definedName>
    <definedName name="Japanalltestshisttriesscoredcorrect">#REF!</definedName>
    <definedName name="Japanalltestshistwon">#REF!</definedName>
    <definedName name="JapanRWChistdrawn">#REF!</definedName>
    <definedName name="JapanRWChistlost">#REF!</definedName>
    <definedName name="JapanRWChistplayed">#REF!</definedName>
    <definedName name="JapanRWChistptsagainst">#REF!</definedName>
    <definedName name="JapanRWChistptsscored">#REF!</definedName>
    <definedName name="JapanRWChisttriesscored">#REF!</definedName>
    <definedName name="JapanRWChistwon">#REF!</definedName>
    <definedName name="jpn2019alltestsdrawn">#REF!</definedName>
    <definedName name="jpn2019alltestslost">#REF!</definedName>
    <definedName name="jpn2019alltestsplayed">#REF!</definedName>
    <definedName name="jpn2019alltestsptsagainst">#REF!</definedName>
    <definedName name="jpn2019alltestsptsscored">#REF!</definedName>
    <definedName name="jpn2019allteststriescon">#REF!</definedName>
    <definedName name="jpn2019allteststriesscored">#REF!</definedName>
    <definedName name="jpn2019alltestswon">#REF!</definedName>
    <definedName name="jpn2019pooldrawn">#REF!</definedName>
    <definedName name="jpn2019poollbcon">#REF!</definedName>
    <definedName name="jpn2019poollbscored">#REF!</definedName>
    <definedName name="jpn2019poollost">#REF!</definedName>
    <definedName name="jpn2019poolplayed">#REF!</definedName>
    <definedName name="jpn2019poolptscon">#REF!</definedName>
    <definedName name="jpn2019poolptsscored">#REF!</definedName>
    <definedName name="jpn2019pooltbcon">#REF!</definedName>
    <definedName name="jpn2019pooltbscored">#REF!</definedName>
    <definedName name="jpn2019pooltriescon">#REF!</definedName>
    <definedName name="jpn2019pooltriesscored">#REF!</definedName>
    <definedName name="jpn2019poolwon">#REF!</definedName>
    <definedName name="jpn2019rwcdrawn">#REF!</definedName>
    <definedName name="jpn2019rwclost">#REF!</definedName>
    <definedName name="jpn2019rwcplayed">#REF!</definedName>
    <definedName name="jpn2019rwcptsagainst">#REF!</definedName>
    <definedName name="jpn2019rwcptsscored">#REF!</definedName>
    <definedName name="jpn2019rwcrc">#REF!</definedName>
    <definedName name="jpn2019rwctriescon">#REF!</definedName>
    <definedName name="jpn2019rwctriesscored">#REF!</definedName>
    <definedName name="jpn2019rwcwon">#REF!</definedName>
    <definedName name="jpn2019rwcyc">#REF!</definedName>
    <definedName name="jpn2021wcpooldrawn">JPN!#REF!</definedName>
    <definedName name="jpn2021wcpoollbscored">JPN!#REF!</definedName>
    <definedName name="jpn2021wcpoollost">JPN!#REF!</definedName>
    <definedName name="jpn2021wcpoolplayed">JPN!#REF!</definedName>
    <definedName name="jpn2021wcpoolpointsagainst">JPN!#REF!</definedName>
    <definedName name="jpn2021wcpoolpointsscored">JPN!#REF!</definedName>
    <definedName name="jpn2021wcpooltbscored">JPN!#REF!</definedName>
    <definedName name="jpn2021wcpooltriesconceded">JPN!#REF!</definedName>
    <definedName name="jpn2021wcpooltriesscored">JPN!#REF!</definedName>
    <definedName name="jpn2021wcpoolwon">JPN!#REF!</definedName>
    <definedName name="jpn2021wcrc">JPN!#REF!</definedName>
    <definedName name="jpn2021wctbcon">JPN!#REF!</definedName>
    <definedName name="jpn2021wcyc">JPN!#REF!</definedName>
    <definedName name="jpnlb">#REF!</definedName>
    <definedName name="jpnlbcon">#REF!</definedName>
    <definedName name="jpnoveralldrawn">#REF!</definedName>
    <definedName name="jpnoveralllost">#REF!</definedName>
    <definedName name="jpnoverallpld">#REF!</definedName>
    <definedName name="jpnoverallptsag">#REF!</definedName>
    <definedName name="jpnoverallptsscored">#REF!</definedName>
    <definedName name="jpnoveralltriescon">#REF!</definedName>
    <definedName name="jpnoveralltriesscored">#REF!</definedName>
    <definedName name="jpnoverallwon">#REF!</definedName>
    <definedName name="jpnpooldrawn">#REF!</definedName>
    <definedName name="jpnpoollost">#REF!</definedName>
    <definedName name="jpnpoolpld">#REF!</definedName>
    <definedName name="jpnpoolptsag">#REF!</definedName>
    <definedName name="jpnpoolptsscored">#REF!</definedName>
    <definedName name="jpnpooltriescon">#REF!</definedName>
    <definedName name="jpnpooltriesscored">#REF!</definedName>
    <definedName name="jpnpoolwon">#REF!</definedName>
    <definedName name="jpnred">#REF!</definedName>
    <definedName name="jpntb">#REF!</definedName>
    <definedName name="jpntbcon">#REF!</definedName>
    <definedName name="jpnyellow">#REF!</definedName>
    <definedName name="leicesterpoconceded">FRA!#REF!</definedName>
    <definedName name="leicesterpolost">FRA!#REF!</definedName>
    <definedName name="leicesterpoplayed">FRA!#REF!</definedName>
    <definedName name="leicesterpored">FRA!#REF!</definedName>
    <definedName name="leicesterposcored">FRA!#REF!</definedName>
    <definedName name="leicesterpotriesconceded">FRA!#REF!</definedName>
    <definedName name="leicesterpotriesscored">FRA!#REF!</definedName>
    <definedName name="leicesterpowon">FRA!#REF!</definedName>
    <definedName name="leicesterpoyellow">FRA!#REF!</definedName>
    <definedName name="leicesterpremred">[2]LEIC!$O$39</definedName>
    <definedName name="leicesterpremseasontotalsdgs">[1]LEIC!$L$37</definedName>
    <definedName name="leicesterpremseasontotalsdrawn">[1]LEIC!$AA$37</definedName>
    <definedName name="leicesterpremseasontotalslost">[1]LEIC!$AB$37</definedName>
    <definedName name="leicesterpremseasontotalsplayed">[1]LEIC!$Y$37</definedName>
    <definedName name="leicesterpremseasontotalsptsagainst">[1]LEIC!$G$37</definedName>
    <definedName name="leicesterpremseasontotalsptsscored">[1]LEIC!$F$37</definedName>
    <definedName name="leicesterpremseasontotalsRC">[1]LEIC!$O$37</definedName>
    <definedName name="leicesterpremseasontotalstriesconceded">[1]LEIC!$R$37</definedName>
    <definedName name="leicesterpremseasontotalstriesscored">[1]LEIC!$J$37</definedName>
    <definedName name="leicesterpremseasontotalswon">[1]LEIC!$Z$37</definedName>
    <definedName name="leicesterpremseasontotalsYC">[1]LEIC!$N$37</definedName>
    <definedName name="leicesterpremtrybonusconccorrect">[1]LEIC!$P$35</definedName>
    <definedName name="leicesterpremtrybonusscored">[1]LEIC!$H$35</definedName>
    <definedName name="leicesterpremyellow">[2]LEIC!$N$39</definedName>
    <definedName name="leicsbonus">FRA!#REF!</definedName>
    <definedName name="leicsconceded">FRA!#REF!</definedName>
    <definedName name="leicsdrawn">FRA!#REF!</definedName>
    <definedName name="leicslosingbonus">FRA!#REF!</definedName>
    <definedName name="leicslosingbonusconceded">FRA!#REF!</definedName>
    <definedName name="leicslost">FRA!#REF!</definedName>
    <definedName name="leicsplayed">FRA!#REF!</definedName>
    <definedName name="leicsred">FRA!#REF!</definedName>
    <definedName name="leicsscored">FRA!#REF!</definedName>
    <definedName name="leicstries">FRA!#REF!</definedName>
    <definedName name="leicstriesconceded">FRA!#REF!</definedName>
    <definedName name="leicstrybonus">FRA!#REF!</definedName>
    <definedName name="leicstrybonusconceded">FRA!#REF!</definedName>
    <definedName name="leicswon">FRA!#REF!</definedName>
    <definedName name="leicsyellow">FRA!#REF!</definedName>
    <definedName name="libonus">#REF!</definedName>
    <definedName name="liconceded">#REF!</definedName>
    <definedName name="lidrawn">#REF!</definedName>
    <definedName name="lilosingbonus">#REF!</definedName>
    <definedName name="lilosingbonusconceded">#REF!</definedName>
    <definedName name="lilost">#REF!</definedName>
    <definedName name="liplayed">#REF!</definedName>
    <definedName name="lirdgsscored">[1]BRI!$L$36</definedName>
    <definedName name="lired">#REF!</definedName>
    <definedName name="liscored">#REF!</definedName>
    <definedName name="litries">#REF!</definedName>
    <definedName name="litriesconceded">#REF!</definedName>
    <definedName name="litrybonus">#REF!</definedName>
    <definedName name="litrybonusconceded">#REF!</definedName>
    <definedName name="liwon">#REF!</definedName>
    <definedName name="liyellow">#REF!</definedName>
    <definedName name="lweagainst">#REF!</definedName>
    <definedName name="lwedrawn">#REF!</definedName>
    <definedName name="lwelosingbonus">#REF!</definedName>
    <definedName name="lwelosingbonusonceded">#REF!</definedName>
    <definedName name="lwelost">#REF!</definedName>
    <definedName name="lweplayed">#REF!</definedName>
    <definedName name="lwered">#REF!</definedName>
    <definedName name="lwescored">#REF!</definedName>
    <definedName name="lwetriesconceded">#REF!</definedName>
    <definedName name="lwetriesscored">#REF!</definedName>
    <definedName name="lwetrybonus">#REF!</definedName>
    <definedName name="lwetrybonusconceded">#REF!</definedName>
    <definedName name="lwewon">#REF!</definedName>
    <definedName name="lweyellow">#REF!</definedName>
    <definedName name="Nam2019alltestsdrawn">#REF!</definedName>
    <definedName name="Nam2019alltestslost">#REF!</definedName>
    <definedName name="Nam2019alltestsplayed">#REF!</definedName>
    <definedName name="Nam2019alltestsptscon">#REF!</definedName>
    <definedName name="Nam2019alltestsptsscored">#REF!</definedName>
    <definedName name="Nam2019allteststriescon">#REF!</definedName>
    <definedName name="Nam2019allteststriesscored">#REF!</definedName>
    <definedName name="Nam2019alltestswon">#REF!</definedName>
    <definedName name="Nam2019pooldrawn">#REF!</definedName>
    <definedName name="Nam2019poollbcon">#REF!</definedName>
    <definedName name="Nam2019poollbscored">#REF!</definedName>
    <definedName name="Nam2019poollost">#REF!</definedName>
    <definedName name="Nam2019poolplayed">#REF!</definedName>
    <definedName name="Nam2019poolptscon">#REF!</definedName>
    <definedName name="Nam2019poolptsscored">#REF!</definedName>
    <definedName name="Nam2019pooltbcon">#REF!</definedName>
    <definedName name="Nam2019pooltbscored">#REF!</definedName>
    <definedName name="Nam2019pooltriescon">#REF!</definedName>
    <definedName name="Nam2019pooltriesscored">#REF!</definedName>
    <definedName name="Nam2019poolwon">#REF!</definedName>
    <definedName name="Nam2019RWCdrawn">#REF!</definedName>
    <definedName name="Nam2019RWClost">#REF!</definedName>
    <definedName name="Nam2019RWCplayed">#REF!</definedName>
    <definedName name="Nam2019RWCptsagainst">#REF!</definedName>
    <definedName name="Nam2019RWCptsscored">#REF!</definedName>
    <definedName name="Nam2019RWCrc">#REF!</definedName>
    <definedName name="Nam2019RWCtriescon">#REF!</definedName>
    <definedName name="Nam2019RWCtriesscored">#REF!</definedName>
    <definedName name="Nam2019RWCwon">#REF!</definedName>
    <definedName name="Nam2019RWCyc">#REF!</definedName>
    <definedName name="Namibiaalltestshistdrawn">#REF!</definedName>
    <definedName name="Namibiaalltestshistlost">#REF!</definedName>
    <definedName name="Namibiaalltestshistplayed">#REF!</definedName>
    <definedName name="Namibiaalltestshistptscon">#REF!</definedName>
    <definedName name="Namibiaalltestshistptsscored">#REF!</definedName>
    <definedName name="Namibiaalltestshisttriesscored">#REF!</definedName>
    <definedName name="Namibiaalltestshistwon">#REF!</definedName>
    <definedName name="NamibiaRWChistdrawn">#REF!</definedName>
    <definedName name="NamibiaRWChistlost">#REF!</definedName>
    <definedName name="NamibiaRWChistplayed">#REF!</definedName>
    <definedName name="NamibiaRWChistptsagainst">#REF!</definedName>
    <definedName name="NamibiaRWChistptsscored">#REF!</definedName>
    <definedName name="NamibiaRWChisttriesscored">#REF!</definedName>
    <definedName name="NamibiaRWChistwon">#REF!</definedName>
    <definedName name="namlb">#REF!</definedName>
    <definedName name="namlbcon">#REF!</definedName>
    <definedName name="namoveralldrawn">#REF!</definedName>
    <definedName name="namoveralllost">#REF!</definedName>
    <definedName name="namoverallpld">#REF!</definedName>
    <definedName name="namoverallptsag">#REF!</definedName>
    <definedName name="namoverallptsscored">#REF!</definedName>
    <definedName name="namoveralltriescon">#REF!</definedName>
    <definedName name="namoveralltriesscored">#REF!</definedName>
    <definedName name="namoverallwon">#REF!</definedName>
    <definedName name="nampooldrawn">#REF!</definedName>
    <definedName name="nampoollost">#REF!</definedName>
    <definedName name="nampoolpld">#REF!</definedName>
    <definedName name="nampoolptsag">#REF!</definedName>
    <definedName name="nampoolptsscored">#REF!</definedName>
    <definedName name="nampooltriescon">#REF!</definedName>
    <definedName name="nampooltriesscored">#REF!</definedName>
    <definedName name="nampoolwon">#REF!</definedName>
    <definedName name="namred">#REF!</definedName>
    <definedName name="namtb">#REF!</definedName>
    <definedName name="namtbcon">#REF!</definedName>
    <definedName name="namyellow">#REF!</definedName>
    <definedName name="New_ZealandRWChistdrawn">#REF!</definedName>
    <definedName name="New_ZealandRWChistlost">#REF!</definedName>
    <definedName name="New_ZealandRWChistplayed">#REF!</definedName>
    <definedName name="New_ZealandRWChistptscon">#REF!</definedName>
    <definedName name="New_ZealandRWChistptsconcorrect">#REF!</definedName>
    <definedName name="New_ZealandRWChistptsscored">#REF!</definedName>
    <definedName name="New_ZealandRWChisttriesscored">#REF!</definedName>
    <definedName name="New_ZealandRWChistwon">#REF!</definedName>
    <definedName name="newcastlepremred">[2]NEW!$O$37</definedName>
    <definedName name="Newcastlepremtotalsdgs">[1]NEW!$L$38</definedName>
    <definedName name="newcastlepremtotalsdrawn">[1]NEW!$AA$36</definedName>
    <definedName name="Newcastlepremtotalslost">[1]NEW!$AB$38</definedName>
    <definedName name="Newcastlepremtotalsplayed">[1]NEW!$Y$38</definedName>
    <definedName name="Newcastlepremtotalsptsagainst">[1]NEW!$G$38</definedName>
    <definedName name="Newcastlepremtotalsptsscored">[1]NEW!$F$38</definedName>
    <definedName name="Newcastlepremtotalsrc">[1]NEW!$O$38</definedName>
    <definedName name="Newcastlepremtotalstriesconceded">[1]NEW!$R$38</definedName>
    <definedName name="Newcastlepremtotalstriesscored">[1]NEW!$J$38</definedName>
    <definedName name="Newcastlepremtotalswon">[1]NEW!$Z$38</definedName>
    <definedName name="Newcastlepremtotalsyc">[1]NEW!$N$38</definedName>
    <definedName name="newcastlepremtrybonuscocn">[1]NEW!$P$36</definedName>
    <definedName name="newcastlepremtrybonusscored">[1]NEW!$H$36</definedName>
    <definedName name="newcastlepremyellow">[2]NEW!$N$37</definedName>
    <definedName name="newcbonus">IRE!#REF!</definedName>
    <definedName name="newcconceded">IRE!#REF!</definedName>
    <definedName name="newcdrawn">IRE!#REF!</definedName>
    <definedName name="newclosingbonus">IRE!#REF!</definedName>
    <definedName name="newclosingbonusconceded">IRE!#REF!</definedName>
    <definedName name="newclost">IRE!#REF!</definedName>
    <definedName name="newcplayed">IRE!#REF!</definedName>
    <definedName name="newcred">IRE!#REF!</definedName>
    <definedName name="newcscored">IRE!#REF!</definedName>
    <definedName name="newctriesconceded">IRE!#REF!</definedName>
    <definedName name="newctriesscored">IRE!#REF!</definedName>
    <definedName name="newctrybonus">IRE!#REF!</definedName>
    <definedName name="newctrybonusconceded">IRE!#REF!</definedName>
    <definedName name="newcwon">IRE!#REF!</definedName>
    <definedName name="newcyellow">IRE!#REF!</definedName>
    <definedName name="Nortbscored">[4]NOR!$H$38</definedName>
    <definedName name="northamptonpremred">[2]NOR!$O$37</definedName>
    <definedName name="northamptonpremseasontotalsdgs">[1]NOR!$L$42</definedName>
    <definedName name="northamptonpremseasontotalsdrawn">[1]NOR!$AA$42</definedName>
    <definedName name="northamptonpremseasontotalslost">[1]NOR!$AB$42</definedName>
    <definedName name="northamptonpremseasontotalsplayed">[1]NOR!$Y$42</definedName>
    <definedName name="northamptonpremseasontotalsptsagainst">[1]NOR!$G$42</definedName>
    <definedName name="northamptonpremseasontotalsptsscored">[1]NOR!$F$42</definedName>
    <definedName name="northamptonpremseasontotalstriesconceded">[1]NOR!$R$42</definedName>
    <definedName name="northamptonpremseasontotalstriesscored">[1]NOR!$J$42</definedName>
    <definedName name="northamptonpremseasontotalswon">[1]NOR!$Z$42</definedName>
    <definedName name="northamptonpremtrybonusconc">[1]NOR!$P$40</definedName>
    <definedName name="northamptonpremtrybonusscored">[1]NOR!$H$40</definedName>
    <definedName name="northamptonpremyellow">[2]NOR!$N$37</definedName>
    <definedName name="Nzl2019alltestsdrawn">#REF!</definedName>
    <definedName name="Nzl2019alltestshistdrawn">#REF!</definedName>
    <definedName name="Nzl2019alltestshistlost">#REF!</definedName>
    <definedName name="Nzl2019alltestshistplayed">#REF!</definedName>
    <definedName name="Nzl2019alltestshistptscon">#REF!</definedName>
    <definedName name="Nzl2019alltestshistptsscored">#REF!</definedName>
    <definedName name="Nzl2019alltestshisttriesscored">#REF!</definedName>
    <definedName name="Nzl2019alltestshistwon">#REF!</definedName>
    <definedName name="Nzl2019alltestslost">#REF!</definedName>
    <definedName name="Nzl2019alltestsplayed">#REF!</definedName>
    <definedName name="Nzl2019alltestsptscon">#REF!</definedName>
    <definedName name="Nzl2019alltestsptsscored">#REF!</definedName>
    <definedName name="Nzl2019allteststriescon">#REF!</definedName>
    <definedName name="Nzl2019allteststriesscored">#REF!</definedName>
    <definedName name="Nzl2019alltestswon">#REF!</definedName>
    <definedName name="Nzl2019pooldrawn">#REF!</definedName>
    <definedName name="Nzl2019poollbcon">#REF!</definedName>
    <definedName name="Nzl2019poollbscored">#REF!</definedName>
    <definedName name="Nzl2019poollost">#REF!</definedName>
    <definedName name="Nzl2019poolplayed">#REF!</definedName>
    <definedName name="Nzl2019poolptscon">#REF!</definedName>
    <definedName name="Nzl2019poolptsscored">#REF!</definedName>
    <definedName name="Nzl2019pooltbcon">#REF!</definedName>
    <definedName name="Nzl2019pooltbscored">#REF!</definedName>
    <definedName name="Nzl2019pooltriescon">#REF!</definedName>
    <definedName name="Nzl2019pooltriesscored">#REF!</definedName>
    <definedName name="Nzl2019poolwon">#REF!</definedName>
    <definedName name="Nzl2019RWCdrawn">#REF!</definedName>
    <definedName name="Nzl2019RWClost">#REF!</definedName>
    <definedName name="Nzl2019RWCplayed">#REF!</definedName>
    <definedName name="Nzl2019RWCptsscon">#REF!</definedName>
    <definedName name="Nzl2019RWCptsscored">#REF!</definedName>
    <definedName name="Nzl2019RWCrc">#REF!</definedName>
    <definedName name="Nzl2019RWCtriescon">#REF!</definedName>
    <definedName name="Nzl2019RWCtriesscored">#REF!</definedName>
    <definedName name="Nzl2019RWCwon">#REF!</definedName>
    <definedName name="Nzl2019RWCyc">#REF!</definedName>
    <definedName name="nzl2021wcpooldrawn">NZL!#REF!</definedName>
    <definedName name="nzl2021wcpoollbscored">NZL!#REF!</definedName>
    <definedName name="nzl2021wcpoollost">NZL!#REF!</definedName>
    <definedName name="nzl2021wcpoolplayed">NZL!#REF!</definedName>
    <definedName name="nzl2021wcpoolpointsagainst">NZL!#REF!</definedName>
    <definedName name="nzl2021wcpoolpointsscored">NZL!#REF!</definedName>
    <definedName name="nzl2021wcpooltbscored">NZL!#REF!</definedName>
    <definedName name="nzl2021wcpooltriesconceded">NZL!#REF!</definedName>
    <definedName name="nzl2021wcpooltriesscored">NZL!#REF!</definedName>
    <definedName name="nzl2021wcpoolwon">NZL!#REF!</definedName>
    <definedName name="nzl2021wcrc">NZL!#REF!</definedName>
    <definedName name="nzl2021wctbcon">NZL!#REF!</definedName>
    <definedName name="nzl2021wcyc">NZL!#REF!</definedName>
    <definedName name="nzllb">#REF!</definedName>
    <definedName name="nzllbcon">#REF!</definedName>
    <definedName name="nzloveralldrawn">#REF!</definedName>
    <definedName name="nzloveralllost">#REF!</definedName>
    <definedName name="nzloverallpld">#REF!</definedName>
    <definedName name="nzloverallptsag">#REF!</definedName>
    <definedName name="nzloverallptsscored">#REF!</definedName>
    <definedName name="nzloveralltriescon">#REF!</definedName>
    <definedName name="nzloveralltriesscored">#REF!</definedName>
    <definedName name="nzloverallwon">#REF!</definedName>
    <definedName name="nzlp4drawn">NZL!$AB$13</definedName>
    <definedName name="nzlp4lb">NZL!$I$13</definedName>
    <definedName name="nzlp4lost">NZL!$AC$13</definedName>
    <definedName name="nzlp4played">NZL!$Z$13</definedName>
    <definedName name="nzlp4ptsconc">NZL!$G$13</definedName>
    <definedName name="nzlp4ptsscored">NZL!$F$13</definedName>
    <definedName name="nzlp4rc">NZL!$O$13</definedName>
    <definedName name="nzlp4tb">NZL!$H$13</definedName>
    <definedName name="nzlp4triesconc">NZL!$R$13</definedName>
    <definedName name="nzlp4triesscored">NZL!$J$13</definedName>
    <definedName name="nzlp4won">NZL!$AA$13</definedName>
    <definedName name="nzlp4yc">NZL!$N$13</definedName>
    <definedName name="nzlpooldrawn">#REF!</definedName>
    <definedName name="nzlpoollost">#REF!</definedName>
    <definedName name="nzlpoolpld">#REF!</definedName>
    <definedName name="nzlpoolptsag">#REF!</definedName>
    <definedName name="nzlpoolptsscored">#REF!</definedName>
    <definedName name="nzlpooltriescon">#REF!</definedName>
    <definedName name="nzlpooltriesscored">#REF!</definedName>
    <definedName name="nzlpoolwon">#REF!</definedName>
    <definedName name="nzlred">#REF!</definedName>
    <definedName name="nzltb">#REF!</definedName>
    <definedName name="nzltbcon">#REF!</definedName>
    <definedName name="nzlyellow">#REF!</definedName>
    <definedName name="quinspoconceded">#REF!</definedName>
    <definedName name="quinspolost">#REF!</definedName>
    <definedName name="quinspoplayed">#REF!</definedName>
    <definedName name="quinspored">#REF!</definedName>
    <definedName name="quinsposcored">#REF!</definedName>
    <definedName name="quinspotriesconceded">#REF!</definedName>
    <definedName name="quinspotriesscored">#REF!</definedName>
    <definedName name="quinspowon">#REF!</definedName>
    <definedName name="quinspoyellow">#REF!</definedName>
    <definedName name="romaniaalltestsdrawn">#REF!</definedName>
    <definedName name="romaniaalltestslost">#REF!</definedName>
    <definedName name="romaniaalltestsplayed">#REF!</definedName>
    <definedName name="romaniaalltestsptsagainst">#REF!</definedName>
    <definedName name="romaniaalltestsptsscored">#REF!</definedName>
    <definedName name="romaniaallteststriesagaiant">#REF!</definedName>
    <definedName name="romaniaallteststriesscored">#REF!</definedName>
    <definedName name="romaniaalltestswon">#REF!</definedName>
    <definedName name="romlb">#REF!</definedName>
    <definedName name="romlbcon">#REF!</definedName>
    <definedName name="romoveralldrawn">#REF!</definedName>
    <definedName name="romoveralllost">#REF!</definedName>
    <definedName name="romoverallpld">#REF!</definedName>
    <definedName name="romoverallptsag">#REF!</definedName>
    <definedName name="romoverallptsscored">#REF!</definedName>
    <definedName name="romoveralltriescon">#REF!</definedName>
    <definedName name="romoveralltriesscored">#REF!</definedName>
    <definedName name="romoverallwon">#REF!</definedName>
    <definedName name="rompooldrawn">#REF!</definedName>
    <definedName name="rompoollost">#REF!</definedName>
    <definedName name="rompoolpld">#REF!</definedName>
    <definedName name="rompoolptsag">#REF!</definedName>
    <definedName name="rompoolptsscored">#REF!</definedName>
    <definedName name="rompooltriescon">#REF!</definedName>
    <definedName name="rompooltriesscored">#REF!</definedName>
    <definedName name="rompoolwon">#REF!</definedName>
    <definedName name="romred">#REF!</definedName>
    <definedName name="romtb">#REF!</definedName>
    <definedName name="romtbcon">#REF!</definedName>
    <definedName name="romyellow">#REF!</definedName>
    <definedName name="Rsa2019alltestsdrawn">#REF!</definedName>
    <definedName name="Rsa2019alltestslost">#REF!</definedName>
    <definedName name="Rsa2019alltestsplayed">#REF!</definedName>
    <definedName name="Rsa2019alltestsptscon">#REF!</definedName>
    <definedName name="Rsa2019alltestsptsscored">#REF!</definedName>
    <definedName name="Rsa2019allteststriescon">#REF!</definedName>
    <definedName name="Rsa2019allteststriesscored">#REF!</definedName>
    <definedName name="Rsa2019alltestswon">#REF!</definedName>
    <definedName name="Rsa2019pooldrawn">#REF!</definedName>
    <definedName name="Rsa2019poollbcon">#REF!</definedName>
    <definedName name="Rsa2019poollbscored">#REF!</definedName>
    <definedName name="Rsa2019poollost">#REF!</definedName>
    <definedName name="Rsa2019poolplayed">#REF!</definedName>
    <definedName name="Rsa2019poolptscon">#REF!</definedName>
    <definedName name="Rsa2019poolptsscored">#REF!</definedName>
    <definedName name="Rsa2019pooltbcon">#REF!</definedName>
    <definedName name="Rsa2019pooltbscored">#REF!</definedName>
    <definedName name="Rsa2019pooltriescon">#REF!</definedName>
    <definedName name="Rsa2019pooltriesscored">#REF!</definedName>
    <definedName name="Rsa2019poolwon">#REF!</definedName>
    <definedName name="Rsa2019RWCdrawn">#REF!</definedName>
    <definedName name="Rsa2019RWClost">#REF!</definedName>
    <definedName name="Rsa2019RWCplayed">#REF!</definedName>
    <definedName name="Rsa2019RWCptscon">#REF!</definedName>
    <definedName name="Rsa2019RWCptsscored">#REF!</definedName>
    <definedName name="Rsa2019RWCrc">#REF!</definedName>
    <definedName name="Rsa2019RWCtriescon">#REF!</definedName>
    <definedName name="Rsa2019RWCtriesscored">#REF!</definedName>
    <definedName name="Rsa2019RWCwon">#REF!</definedName>
    <definedName name="Rsa2019RWCyc">#REF!</definedName>
    <definedName name="rsa2021wcpooldrawn">RSA!#REF!</definedName>
    <definedName name="rsa2021wcpoollbscored">RSA!#REF!</definedName>
    <definedName name="rsa2021wcpoollost">RSA!#REF!</definedName>
    <definedName name="rsa2021wcpoolplayed">RSA!#REF!</definedName>
    <definedName name="rsa2021wcpoolpointsagainst">RSA!#REF!</definedName>
    <definedName name="rsa2021wcpoolpointsscored">RSA!#REF!</definedName>
    <definedName name="rsa2021wcpooltbscored">RSA!#REF!</definedName>
    <definedName name="rsa2021wcpooltriesconceded">RSA!#REF!</definedName>
    <definedName name="rsa2021wcpooltriesscored">RSA!#REF!</definedName>
    <definedName name="rsa2021wcpoolwon">RSA!#REF!</definedName>
    <definedName name="rsa2021wcrc">RSA!#REF!</definedName>
    <definedName name="rsa2021wctbcon">RSA!#REF!</definedName>
    <definedName name="rsa2021wcyc">RSA!#REF!</definedName>
    <definedName name="Rsaalltestshistdrawn">#REF!</definedName>
    <definedName name="Rsaalltestshistlost">#REF!</definedName>
    <definedName name="Rsaalltestshistplayed">#REF!</definedName>
    <definedName name="Rsaalltestshistptscon">#REF!</definedName>
    <definedName name="Rsaalltestshistptsscored">#REF!</definedName>
    <definedName name="Rsaalltestshisttriesscored">#REF!</definedName>
    <definedName name="Rsaalltestshistwon">#REF!</definedName>
    <definedName name="rsalb">#REF!</definedName>
    <definedName name="rsalbcon">#REF!</definedName>
    <definedName name="rsaoveralldrawn">#REF!</definedName>
    <definedName name="rsaoveralllost">#REF!</definedName>
    <definedName name="rsaoverallpld">#REF!</definedName>
    <definedName name="rsaoverallptsag">#REF!</definedName>
    <definedName name="rsaoverallptsscored">#REF!</definedName>
    <definedName name="rsaoveralltriescon">#REF!</definedName>
    <definedName name="rsaoveralltriesscored">#REF!</definedName>
    <definedName name="rsaoverallwon">#REF!</definedName>
    <definedName name="rsapooldrawn">#REF!</definedName>
    <definedName name="rsapoollost">#REF!</definedName>
    <definedName name="rsapoolpld">#REF!</definedName>
    <definedName name="rsapoolptsag">#REF!</definedName>
    <definedName name="rsapoolptsscored">#REF!</definedName>
    <definedName name="rsapooltriescon">#REF!</definedName>
    <definedName name="rsapooltriesscored">#REF!</definedName>
    <definedName name="rsapoolwon">#REF!</definedName>
    <definedName name="rsared">#REF!</definedName>
    <definedName name="RsaRWChistdrawn">#REF!</definedName>
    <definedName name="RsaRWChistlost">#REF!</definedName>
    <definedName name="RsaRWChistplayed">#REF!</definedName>
    <definedName name="RsaRWChistptscon">#REF!</definedName>
    <definedName name="RsaRWChistptsscored">#REF!</definedName>
    <definedName name="RsaRWChisttriesscored">#REF!</definedName>
    <definedName name="RsaRWChistwon">#REF!</definedName>
    <definedName name="rsatb">#REF!</definedName>
    <definedName name="rsatbcon">#REF!</definedName>
    <definedName name="rsayellow">#REF!</definedName>
    <definedName name="Rus2019alltestsdrawn">#REF!</definedName>
    <definedName name="Rus2019alltestslost">#REF!</definedName>
    <definedName name="Rus2019alltestsplayed">#REF!</definedName>
    <definedName name="Rus2019alltestsptscon">#REF!</definedName>
    <definedName name="Rus2019alltestsptsscored">#REF!</definedName>
    <definedName name="Rus2019allteststriescon">#REF!</definedName>
    <definedName name="Rus2019allteststriescored">#REF!</definedName>
    <definedName name="Rus2019alltestswon">#REF!</definedName>
    <definedName name="Rus2019pooldrawn">#REF!</definedName>
    <definedName name="Rus2019poollbcon">#REF!</definedName>
    <definedName name="Rus2019poollbscored">#REF!</definedName>
    <definedName name="Rus2019poollost">#REF!</definedName>
    <definedName name="Rus2019poolplayed">#REF!</definedName>
    <definedName name="Rus2019poolplayedcorrect">#REF!</definedName>
    <definedName name="Rus2019poolptscon">#REF!</definedName>
    <definedName name="Rus2019poolptsscored">#REF!</definedName>
    <definedName name="Rus2019pooltbcon">#REF!</definedName>
    <definedName name="Rus2019pooltbscored">#REF!</definedName>
    <definedName name="Rus2019pooltriescon">#REF!</definedName>
    <definedName name="Rus2019pooltriesscored">#REF!</definedName>
    <definedName name="Rus2019poolwon">#REF!</definedName>
    <definedName name="Rus2019poolwoncorrect">#REF!</definedName>
    <definedName name="Rus2019RWCdrawn">#REF!</definedName>
    <definedName name="Rus2019RWClost">#REF!</definedName>
    <definedName name="Rus2019RWCplayed">#REF!</definedName>
    <definedName name="Rus2019RWCptscon">#REF!</definedName>
    <definedName name="Rus2019RWCptsscored">#REF!</definedName>
    <definedName name="Rus2019RWCrc">#REF!</definedName>
    <definedName name="Rus2019RWCtriescon">#REF!</definedName>
    <definedName name="Rus2019RWCtriesscored">#REF!</definedName>
    <definedName name="Rus2019RWCwon">#REF!</definedName>
    <definedName name="Rus2019RWCyc">#REF!</definedName>
    <definedName name="Russiaalltestshistdrawn">#REF!</definedName>
    <definedName name="Russiaalltestshistlost">#REF!</definedName>
    <definedName name="Russiaalltestshistplayed">#REF!</definedName>
    <definedName name="Russiaalltestshistptsagainst">#REF!</definedName>
    <definedName name="Russiaalltestshistptsscored">#REF!</definedName>
    <definedName name="Russiaalltestshisttriesscored">#REF!</definedName>
    <definedName name="Russiaalltestshistwon">#REF!</definedName>
    <definedName name="RussiaRWChistdrawn">#REF!</definedName>
    <definedName name="RussiaRWChistlost">#REF!</definedName>
    <definedName name="RussiaRWChistplayed">#REF!</definedName>
    <definedName name="RussiaRWChistptscon">#REF!</definedName>
    <definedName name="RussiaRWChistptsscored">#REF!</definedName>
    <definedName name="RussiaRWChisttriesscored">#REF!</definedName>
    <definedName name="RussiaRWChistwon">#REF!</definedName>
    <definedName name="RWC2019startarg">#REF!</definedName>
    <definedName name="RWC2019startaus">#REF!</definedName>
    <definedName name="RWC2019startcan">#REF!</definedName>
    <definedName name="RWC2019starteng">ENG!#REF!</definedName>
    <definedName name="RWC2019startfij">#REF!</definedName>
    <definedName name="RWC2019startfra">FRA!#REF!</definedName>
    <definedName name="RWC2019startgeo">#REF!</definedName>
    <definedName name="RWC2019startire">IRE!#REF!</definedName>
    <definedName name="RWC2019startita">ITA!#REF!</definedName>
    <definedName name="RWC2019startjpn">#REF!</definedName>
    <definedName name="RWC2019startnam">#REF!</definedName>
    <definedName name="RWC2019startnzl">#REF!</definedName>
    <definedName name="RWC2019startrsa">#REF!</definedName>
    <definedName name="RWC2019startrus">#REF!</definedName>
    <definedName name="RWC2019startsam">#REF!</definedName>
    <definedName name="RWC2019startsco">SCO!#REF!</definedName>
    <definedName name="RWCstartton">#REF!</definedName>
    <definedName name="RWCstartUru">#REF!</definedName>
    <definedName name="RWCstartUSA">#REF!</definedName>
    <definedName name="RWCstartwal">WAL!#REF!</definedName>
    <definedName name="sainstpotriesconcededcorrect">ITA!#REF!</definedName>
    <definedName name="sainstpowon">ITA!#REF!</definedName>
    <definedName name="saintsbonus">ITA!#REF!</definedName>
    <definedName name="saintsconceded">ITA!#REF!</definedName>
    <definedName name="saintsdrawn">ITA!#REF!</definedName>
    <definedName name="saintslosingbonus">ITA!#REF!</definedName>
    <definedName name="saintslosingbonusconceded">ITA!#REF!</definedName>
    <definedName name="saintslost">ITA!#REF!</definedName>
    <definedName name="saintsplayed">ITA!#REF!</definedName>
    <definedName name="saintspoconceded">ITA!#REF!</definedName>
    <definedName name="saintspodrawn">ITA!#REF!</definedName>
    <definedName name="saintspolost">ITA!#REF!</definedName>
    <definedName name="saintspoplayed">ITA!#REF!</definedName>
    <definedName name="saintspored">ITA!#REF!</definedName>
    <definedName name="saintsposcored">ITA!#REF!</definedName>
    <definedName name="saintspotriesconceded">ITA!#REF!</definedName>
    <definedName name="saintspotriesscored">ITA!#REF!</definedName>
    <definedName name="Saintspoyellow">ITA!#REF!</definedName>
    <definedName name="saintsred">ITA!#REF!</definedName>
    <definedName name="saintsscored">ITA!#REF!</definedName>
    <definedName name="saintstriesconceded">ITA!#REF!</definedName>
    <definedName name="saintstriesscored">ITA!#REF!</definedName>
    <definedName name="saintstrybonus">ITA!#REF!</definedName>
    <definedName name="saintstrybonusconceded">ITA!#REF!</definedName>
    <definedName name="saintswon">ITA!#REF!</definedName>
    <definedName name="saintsyellow">ITA!#REF!</definedName>
    <definedName name="salebonus">#REF!</definedName>
    <definedName name="saleconceded">#REF!</definedName>
    <definedName name="saledrawn">#REF!</definedName>
    <definedName name="salelosingbonus">#REF!</definedName>
    <definedName name="salelosingbonusconceded">#REF!</definedName>
    <definedName name="salelost">#REF!</definedName>
    <definedName name="saleplayed">#REF!</definedName>
    <definedName name="salepremptsdagainst">[1]SAL!$G$37</definedName>
    <definedName name="salepremptsscored">[1]SAL!$F$37</definedName>
    <definedName name="salepremred">[2]SAL!$O$39</definedName>
    <definedName name="salepremseasontotalsdgs">[1]SAL!$L$39</definedName>
    <definedName name="salepremseasontotalsdrawn">[1]SAL!$AA$39</definedName>
    <definedName name="salepremseasontotalslost">[1]SAL!$AB$39</definedName>
    <definedName name="salepremseasontotalsplayed">[1]SAL!$Y$39</definedName>
    <definedName name="salepremseasontotalsRC">[1]SAL!$O$39</definedName>
    <definedName name="salepremseasontotalstriesconceded">[1]SAL!$R$39</definedName>
    <definedName name="salepremseasontotalstriesscored">[1]SAL!$J$39</definedName>
    <definedName name="salepremseasontotalswon">[1]SAL!$Z$39</definedName>
    <definedName name="salepremseasontotalsYC">[1]SAL!$N$39</definedName>
    <definedName name="salepremtrybonusconc">[1]SAL!$P$37</definedName>
    <definedName name="salepremtrybonusscored">[1]SAL!$H$37</definedName>
    <definedName name="salepremyellow">[2]SAL!$N$39</definedName>
    <definedName name="salered">#REF!</definedName>
    <definedName name="salescored">#REF!</definedName>
    <definedName name="saletriesconceded">#REF!</definedName>
    <definedName name="saletriesscored">#REF!</definedName>
    <definedName name="saletrybonus">#REF!</definedName>
    <definedName name="saletrybonusconceded">#REF!</definedName>
    <definedName name="salewon">#REF!</definedName>
    <definedName name="saleyellow">#REF!</definedName>
    <definedName name="Sam2019alltestsdrawn">#REF!</definedName>
    <definedName name="Sam2019alltestslost">#REF!</definedName>
    <definedName name="Sam2019alltestsplayed">#REF!</definedName>
    <definedName name="Sam2019alltestsptscon">#REF!</definedName>
    <definedName name="Sam2019alltestsptsscored">#REF!</definedName>
    <definedName name="Sam2019allteststriescon">#REF!</definedName>
    <definedName name="Sam2019allteststriescored">#REF!</definedName>
    <definedName name="Sam2019alltestswon">#REF!</definedName>
    <definedName name="Sam2019pooldrawn">#REF!</definedName>
    <definedName name="Sam2019poollbcon">#REF!</definedName>
    <definedName name="Sam2019poollbscored">#REF!</definedName>
    <definedName name="Sam2019poollost">#REF!</definedName>
    <definedName name="Sam2019poolplayed">#REF!</definedName>
    <definedName name="Sam2019poolptscon">#REF!</definedName>
    <definedName name="Sam2019poolptsscored">#REF!</definedName>
    <definedName name="Sam2019pooltbcon">#REF!</definedName>
    <definedName name="Sam2019pooltbscored">#REF!</definedName>
    <definedName name="Sam2019pooltriescon">#REF!</definedName>
    <definedName name="Sam2019pooltriesscored">#REF!</definedName>
    <definedName name="Sam2019poolwon">#REF!</definedName>
    <definedName name="Sam2019RWCdrawn">#REF!</definedName>
    <definedName name="Sam2019RWClost">#REF!</definedName>
    <definedName name="Sam2019RWCplayed">#REF!</definedName>
    <definedName name="Sam2019RWCptscon">#REF!</definedName>
    <definedName name="Sam2019RWCptsscored">#REF!</definedName>
    <definedName name="SAM2019rwcRC">#REF!</definedName>
    <definedName name="Sam2019RWCtriescon">#REF!</definedName>
    <definedName name="Sam2019RWCtriescored">#REF!</definedName>
    <definedName name="Sam2019RWCwon">#REF!</definedName>
    <definedName name="Sam2019RWCyc">#REF!</definedName>
    <definedName name="Samalltestshistdrawn">#REF!</definedName>
    <definedName name="Samalltestshistlost">#REF!</definedName>
    <definedName name="Samalltestshistplayed">#REF!</definedName>
    <definedName name="Samalltestshistptscon">#REF!</definedName>
    <definedName name="Samalltestshistptsscored">#REF!</definedName>
    <definedName name="SamalltestshistTRIESSCORED">#REF!</definedName>
    <definedName name="Samalltestshistwon">#REF!</definedName>
    <definedName name="samlb">#REF!</definedName>
    <definedName name="samlbcon">#REF!</definedName>
    <definedName name="samoveralldrawn">#REF!</definedName>
    <definedName name="samoveralllost">#REF!</definedName>
    <definedName name="samoverallpld">#REF!</definedName>
    <definedName name="samoverallptsag">#REF!</definedName>
    <definedName name="samoverallptsscored">#REF!</definedName>
    <definedName name="samoveralltriescon">#REF!</definedName>
    <definedName name="samoveralltriesscored">#REF!</definedName>
    <definedName name="samoverallwon">#REF!</definedName>
    <definedName name="sampooldrawn">#REF!</definedName>
    <definedName name="sampoollost">#REF!</definedName>
    <definedName name="sampoolpld">#REF!</definedName>
    <definedName name="sampoolptsag">#REF!</definedName>
    <definedName name="sampoolptsscored">#REF!</definedName>
    <definedName name="sampooltriescon">#REF!</definedName>
    <definedName name="sampooltriesscored">#REF!</definedName>
    <definedName name="sampoolwon">#REF!</definedName>
    <definedName name="samred">#REF!</definedName>
    <definedName name="SamRWChistdrawn">#REF!</definedName>
    <definedName name="SamRWChistlost">#REF!</definedName>
    <definedName name="SamRWChistplayed">#REF!</definedName>
    <definedName name="SamRWChistptscon">#REF!</definedName>
    <definedName name="SamRWChistptsscored">#REF!</definedName>
    <definedName name="SamRWChisttriesscored">#REF!</definedName>
    <definedName name="SamRWChistwon">#REF!</definedName>
    <definedName name="samtb">#REF!</definedName>
    <definedName name="samtbcon">#REF!</definedName>
    <definedName name="samyellow">#REF!</definedName>
    <definedName name="saracenspoconceded">#REF!</definedName>
    <definedName name="saracenspolost">#REF!</definedName>
    <definedName name="saracenspoplayed">#REF!</definedName>
    <definedName name="saracenspored">#REF!</definedName>
    <definedName name="saracensposcored">#REF!</definedName>
    <definedName name="saracenspotriesconceded">#REF!</definedName>
    <definedName name="saracenspotriesscored">#REF!</definedName>
    <definedName name="saracenspowon">#REF!</definedName>
    <definedName name="saracenspoyellow">#REF!</definedName>
    <definedName name="saracenspremred">[2]SAR!$O$42</definedName>
    <definedName name="saracenspremtotalsdrawn">[1]SAR!$AA$44</definedName>
    <definedName name="saracenspremtrybonusconc">[1]SAR!$P$42</definedName>
    <definedName name="saracenspremtrybonusscored">[1]SAR!$H$42</definedName>
    <definedName name="saracenspremyellow">[2]SAR!$N$42</definedName>
    <definedName name="Sarpremtotalscorrecttriesconc">[4]SAR!$R$34</definedName>
    <definedName name="Sarpremtotalscorrecttriesscored">[4]SAR!$J$34</definedName>
    <definedName name="Sarpremtotalscorrecttrybonusconc">[4]SAR!$P$34</definedName>
    <definedName name="Sarpremtotalscorrecttrybonusscored">[4]SAR!$H$34</definedName>
    <definedName name="Sarpremtotalsdgs">[1]SAR!$L$44</definedName>
    <definedName name="Sarpremtotalslost">[1]SAR!$AB$44</definedName>
    <definedName name="Sarpremtotalsplayed">[1]SAR!$Y$44</definedName>
    <definedName name="Sarpremtotalsptsagainst">[1]SAR!$G$44</definedName>
    <definedName name="Sarpremtotalsptsscored">[1]SAR!$F$44</definedName>
    <definedName name="Sarpremtotalsrc">[1]SAR!$O$44</definedName>
    <definedName name="Sarpremtotalstriesconceded">[1]SAR!$R$44</definedName>
    <definedName name="Sarpremtotalstriesscored">[1]SAR!$J$44</definedName>
    <definedName name="Sarpremtotalswon">[1]SAR!$Z$44</definedName>
    <definedName name="Sarpremtotalsyc">[1]SAR!$N$44</definedName>
    <definedName name="sarriesbonus">#REF!</definedName>
    <definedName name="sarriesconceded">#REF!</definedName>
    <definedName name="sarriesdrawn">#REF!</definedName>
    <definedName name="sarrieslosingbonus">#REF!</definedName>
    <definedName name="sarrieslosingbonusconceded">#REF!</definedName>
    <definedName name="sarrieslost">#REF!</definedName>
    <definedName name="sarriesplayed">#REF!</definedName>
    <definedName name="sarriesred">#REF!</definedName>
    <definedName name="sarriesscored">#REF!</definedName>
    <definedName name="sarriestriesconceded">#REF!</definedName>
    <definedName name="sarriestriesscored">#REF!</definedName>
    <definedName name="sarriestrybonus">#REF!</definedName>
    <definedName name="sarriestrybonusconceded">#REF!</definedName>
    <definedName name="sarrieswon">#REF!</definedName>
    <definedName name="sarriesyellow">#REF!</definedName>
    <definedName name="Sco2019alltestsdrawn">SCO!$AB$16</definedName>
    <definedName name="Sco2019alltestslost">SCO!$AC$16</definedName>
    <definedName name="Sco2019alltestsplayed">SCO!$Z$16</definedName>
    <definedName name="Sco2019alltestsptsagainst">SCO!$G$16</definedName>
    <definedName name="Sco2019alltestsptsscored">SCO!$F$16</definedName>
    <definedName name="Sco2019allteststriescon">SCO!$R$16</definedName>
    <definedName name="Sco2019allteststriesscored">SCO!$J$16</definedName>
    <definedName name="Sco2019alltestswon">SCO!$AA$16</definedName>
    <definedName name="Sco2019pooldrawn">SCO!#REF!</definedName>
    <definedName name="Sco2019poollbcon">SCO!#REF!</definedName>
    <definedName name="Sco2019poollbscored">SCO!#REF!</definedName>
    <definedName name="sco2019poollost">SCO!#REF!</definedName>
    <definedName name="Sco2019poolplayed">SCO!#REF!</definedName>
    <definedName name="Sco2019poolptsagainst">SCO!#REF!</definedName>
    <definedName name="Sco2019poolptsscored">SCO!#REF!</definedName>
    <definedName name="Sco2019pooltbcon">SCO!#REF!</definedName>
    <definedName name="Sco2019pooltbscored">SCO!#REF!</definedName>
    <definedName name="Sco2019pooltriescon">SCO!#REF!</definedName>
    <definedName name="Sco2019pooltriesscored">SCO!#REF!</definedName>
    <definedName name="Sco2019poolwon">SCO!#REF!</definedName>
    <definedName name="Sco2019RWCdrawn">SCO!#REF!</definedName>
    <definedName name="Sco2019RWClost">SCO!#REF!</definedName>
    <definedName name="Sco2019RWCplayed">SCO!#REF!</definedName>
    <definedName name="Sco2019RWCptscon">SCO!#REF!</definedName>
    <definedName name="Sco2019RWCptsscored">SCO!#REF!</definedName>
    <definedName name="Sco2019RWCrc">SCO!#REF!</definedName>
    <definedName name="Sco2019RWCtriescon">SCO!#REF!</definedName>
    <definedName name="Sco2019RWCtriesscored">SCO!#REF!</definedName>
    <definedName name="Sco2019RWCwon">SCO!#REF!</definedName>
    <definedName name="Sco2019RWCyc">SCO!#REF!</definedName>
    <definedName name="sco2021wcpooldrawn">SCO!#REF!</definedName>
    <definedName name="sco2021wcpoollbscored">SCO!#REF!</definedName>
    <definedName name="sco2021wcpoollost">SCO!#REF!</definedName>
    <definedName name="sco2021wcpoolplayed">SCO!#REF!</definedName>
    <definedName name="sco2021wcpoolpointsagainst">SCO!#REF!</definedName>
    <definedName name="sco2021wcpoolpointsscored">SCO!#REF!</definedName>
    <definedName name="sco2021wcpooltbscored">SCO!#REF!</definedName>
    <definedName name="sco2021wcpooltriesconceded">SCO!#REF!</definedName>
    <definedName name="sco2021wcpooltriesscored">SCO!#REF!</definedName>
    <definedName name="sco2021wcpoolwon">SCO!#REF!</definedName>
    <definedName name="sco2021wcrc">SCO!#REF!</definedName>
    <definedName name="sco2021wctbcon">SCO!#REF!</definedName>
    <definedName name="sco2021wcyc">SCO!#REF!</definedName>
    <definedName name="sco6nrc">SCO!$O$14</definedName>
    <definedName name="sco6nyc">SCO!$N$14</definedName>
    <definedName name="scolb">SCO!#REF!</definedName>
    <definedName name="scolbcon">SCO!#REF!</definedName>
    <definedName name="scooveralldrawn">SCO!#REF!</definedName>
    <definedName name="scooveralllost">SCO!#REF!</definedName>
    <definedName name="scooverallpld">SCO!#REF!</definedName>
    <definedName name="scooverallptsag">SCO!#REF!</definedName>
    <definedName name="scooverallptsscored">SCO!#REF!</definedName>
    <definedName name="scooveralltriescon">SCO!#REF!</definedName>
    <definedName name="scooveralltriesscored">SCO!#REF!</definedName>
    <definedName name="scooverallwon">SCO!#REF!</definedName>
    <definedName name="scopooldrawn">SCO!#REF!</definedName>
    <definedName name="scopoollost">SCO!#REF!</definedName>
    <definedName name="scopoolpld">SCO!#REF!</definedName>
    <definedName name="scopoolptsag">SCO!#REF!</definedName>
    <definedName name="scopoolptsscored">SCO!#REF!</definedName>
    <definedName name="scopooltriescon">SCO!#REF!</definedName>
    <definedName name="scopooltriesscored">SCO!#REF!</definedName>
    <definedName name="scopoolwon">SCO!#REF!</definedName>
    <definedName name="scored">SCO!#REF!</definedName>
    <definedName name="scotb">SCO!#REF!</definedName>
    <definedName name="scotbcon">SCO!#REF!</definedName>
    <definedName name="Scotlandalltestshistdrawn">#REF!</definedName>
    <definedName name="Scotlandalltestshistlost">#REF!</definedName>
    <definedName name="Scotlandalltestshistplayed">#REF!</definedName>
    <definedName name="Scotlandalltestshistptscon">#REF!</definedName>
    <definedName name="Scotlandalltestshistptsscored">#REF!</definedName>
    <definedName name="Scotlandalltestshisttriesscored">#REF!</definedName>
    <definedName name="Scotlandalltestshistwon">#REF!</definedName>
    <definedName name="Scotlanddrawn">SCO!$AB$14</definedName>
    <definedName name="Scotlandlosingbonus">SCO!$I$14</definedName>
    <definedName name="Scotlandlost">SCO!$AC$14</definedName>
    <definedName name="Scotlandplayed">SCO!$Z$14</definedName>
    <definedName name="Scotlandptsagainst">SCO!$G$14</definedName>
    <definedName name="Scotlandptsscored">SCO!$F$14</definedName>
    <definedName name="Scotlandred">SCO!$O$14</definedName>
    <definedName name="ScotlandRWChistdrawn">#REF!</definedName>
    <definedName name="ScotlandRWChistlost">#REF!</definedName>
    <definedName name="ScotlandRWChistplayed">#REF!</definedName>
    <definedName name="ScotlandRWChistptscon">#REF!</definedName>
    <definedName name="ScotlandRWChistptsscored">#REF!</definedName>
    <definedName name="ScotlandRWChisttriesscored">#REF!</definedName>
    <definedName name="ScotlandRWChistwon">#REF!</definedName>
    <definedName name="Scotlandtriesagainst">SCO!$R$14</definedName>
    <definedName name="Scotlandtriesscored">SCO!$J$14</definedName>
    <definedName name="Scotlandtrybonus">SCO!$H$14</definedName>
    <definedName name="Scotlandwon">SCO!$AA$14</definedName>
    <definedName name="Scotlandyellow">SCO!$N$14</definedName>
    <definedName name="scoyellow">SCO!#REF!</definedName>
    <definedName name="tgalb">#REF!</definedName>
    <definedName name="tgalbcon">#REF!</definedName>
    <definedName name="tgaoveralldrawn">#REF!</definedName>
    <definedName name="tgaoveralllost">#REF!</definedName>
    <definedName name="tgaoverallpld">#REF!</definedName>
    <definedName name="tgaoverallptsag">#REF!</definedName>
    <definedName name="tgaoverallptsscored">#REF!</definedName>
    <definedName name="tgaoveralltriescon">#REF!</definedName>
    <definedName name="tgaoveralltriesscored">#REF!</definedName>
    <definedName name="tgaoveralltriesscoredcorr">#REF!</definedName>
    <definedName name="tgaoverallwon">#REF!</definedName>
    <definedName name="tgaovralltriesscoredcorrect">#REF!</definedName>
    <definedName name="tgapooldrawn">#REF!</definedName>
    <definedName name="tgapoollost">#REF!</definedName>
    <definedName name="tgapoolpld">#REF!</definedName>
    <definedName name="tgapoolptsag">#REF!</definedName>
    <definedName name="tgapoolptsscored">#REF!</definedName>
    <definedName name="tgapooltriescon">#REF!</definedName>
    <definedName name="tgapooltriesscored">#REF!</definedName>
    <definedName name="tgapoolwon">#REF!</definedName>
    <definedName name="tgared">#REF!</definedName>
    <definedName name="tgatb">#REF!</definedName>
    <definedName name="tgatbcon">#REF!</definedName>
    <definedName name="tgayellow">#REF!</definedName>
    <definedName name="Ton2019alltestsdrawn">#REF!</definedName>
    <definedName name="Ton2019alltestslost">#REF!</definedName>
    <definedName name="Ton2019alltestsplayed">#REF!</definedName>
    <definedName name="Ton2019alltestsptscon">#REF!</definedName>
    <definedName name="Ton2019alltestsptsscored">#REF!</definedName>
    <definedName name="Ton2019allteststriescon">#REF!</definedName>
    <definedName name="Ton2019allteststriesscored">#REF!</definedName>
    <definedName name="Ton2019alltestswon">#REF!</definedName>
    <definedName name="Ton2019pooldrawn">#REF!</definedName>
    <definedName name="Ton2019poollbcon">#REF!</definedName>
    <definedName name="Ton2019poollbscored">#REF!</definedName>
    <definedName name="Ton2019poollost">#REF!</definedName>
    <definedName name="Ton2019poolplayed">#REF!</definedName>
    <definedName name="Ton2019poolplayedcorrect">#REF!</definedName>
    <definedName name="Ton2019poolptscon">#REF!</definedName>
    <definedName name="Ton2019poolptsscored">#REF!</definedName>
    <definedName name="Ton2019poolrtbcon">#REF!</definedName>
    <definedName name="Ton2019pooltbscored">#REF!</definedName>
    <definedName name="Ton2019pooltriescon">#REF!</definedName>
    <definedName name="Ton2019pooltriesscored">#REF!</definedName>
    <definedName name="Ton2019poolwon">#REF!</definedName>
    <definedName name="Ton2019RWCdrawn">#REF!</definedName>
    <definedName name="Ton2019RWClost">#REF!</definedName>
    <definedName name="Ton2019RWCplayed">#REF!</definedName>
    <definedName name="Ton2019RWCptscon">#REF!</definedName>
    <definedName name="Ton2019RWCptsscored">#REF!</definedName>
    <definedName name="Ton2019RWCrc">#REF!</definedName>
    <definedName name="Ton2019RWCtriescon">#REF!</definedName>
    <definedName name="Ton2019RWCtriesscored">#REF!</definedName>
    <definedName name="Ton2019RWCwon">#REF!</definedName>
    <definedName name="Ton2019RWCyc">#REF!</definedName>
    <definedName name="Tongaalltestshistdrawn">#REF!</definedName>
    <definedName name="Tongaalltestshistlost">#REF!</definedName>
    <definedName name="Tongaalltestshistplayed">#REF!</definedName>
    <definedName name="Tongaalltestshistptsagainst">#REF!</definedName>
    <definedName name="Tongaalltestshistptsscored">#REF!</definedName>
    <definedName name="Tongaalltestshisttriesscored">#REF!</definedName>
    <definedName name="Tongaalltestshistwon">#REF!</definedName>
    <definedName name="TongaRWChistdrawn">#REF!</definedName>
    <definedName name="TongaRWChistlost">#REF!</definedName>
    <definedName name="TongaRWChistplayed">#REF!</definedName>
    <definedName name="TongaRWChistptscon">#REF!</definedName>
    <definedName name="TongaRWChistptsscored">#REF!</definedName>
    <definedName name="TongaRWChisttriesscored">#REF!</definedName>
    <definedName name="TongaRWChistwon">#REF!</definedName>
    <definedName name="triesscored">ENG!#REF!</definedName>
    <definedName name="United_Statesalltestshistdrawn">#REF!</definedName>
    <definedName name="United_Statesalltestshistlost">#REF!</definedName>
    <definedName name="United_Statesalltestshistplayed">#REF!</definedName>
    <definedName name="United_Statesalltestshistptscon">#REF!</definedName>
    <definedName name="United_Statesalltestshistptsscored">#REF!</definedName>
    <definedName name="United_Statesalltestshisttriesscored">#REF!</definedName>
    <definedName name="United_Statesalltestshistwon">#REF!</definedName>
    <definedName name="United_StatesRWChistdrawn">#REF!</definedName>
    <definedName name="United_StatesRWChistlost">#REF!</definedName>
    <definedName name="United_StatesRWChistplayed">#REF!</definedName>
    <definedName name="United_StatesRWChistptscon">#REF!</definedName>
    <definedName name="United_StatesRWChistptsscored">#REF!</definedName>
    <definedName name="United_StatesRWChisttriesscored">#REF!</definedName>
    <definedName name="United_StatesRWChistwon">#REF!</definedName>
    <definedName name="Uru2019alltestsdrawn">#REF!</definedName>
    <definedName name="Uru2019alltestslost">#REF!</definedName>
    <definedName name="Uru2019alltestsplayed">#REF!</definedName>
    <definedName name="Uru2019alltestsplayedcorrect">#REF!</definedName>
    <definedName name="Uru2019alltestsptscon">#REF!</definedName>
    <definedName name="Uru2019alltestsptsscored">#REF!</definedName>
    <definedName name="Uru2019allteststriescon">#REF!</definedName>
    <definedName name="Uru2019allteststriesconcorrect">#REF!</definedName>
    <definedName name="Uru2019allteststriesscored">#REF!</definedName>
    <definedName name="Uru2019alltestswon">#REF!</definedName>
    <definedName name="Uru2019pooldrawn">#REF!</definedName>
    <definedName name="Uru2019poollbcon">#REF!</definedName>
    <definedName name="Uru2019poollbscored">#REF!</definedName>
    <definedName name="Uru2019poollost">#REF!</definedName>
    <definedName name="Uru2019poolplayed">#REF!</definedName>
    <definedName name="Uru2019poolptsagainst">#REF!</definedName>
    <definedName name="Uru2019poolptscon">#REF!</definedName>
    <definedName name="Uru2019poolptsconcorrect">#REF!</definedName>
    <definedName name="Uru2019poolptsscored">#REF!</definedName>
    <definedName name="Uru2019pooltbcon">#REF!</definedName>
    <definedName name="Uru2019pooltbscored">#REF!</definedName>
    <definedName name="Uru2019pooltriescon">#REF!</definedName>
    <definedName name="Uru2019pooltriesscored">#REF!</definedName>
    <definedName name="uru2019poolwon">#REF!</definedName>
    <definedName name="Uru2019RWCdrawn">#REF!</definedName>
    <definedName name="Uru2019RWClostcorrect">#REF!</definedName>
    <definedName name="Uru2019RWCplayed">#REF!</definedName>
    <definedName name="Uru2019RWCptscon">#REF!</definedName>
    <definedName name="Uru2019RWCptsscored">#REF!</definedName>
    <definedName name="Uru2019RWCrc">#REF!</definedName>
    <definedName name="Uru2019RWCtriescon">#REF!</definedName>
    <definedName name="Uru2019RWCtriesscored">#REF!</definedName>
    <definedName name="Uru2019RWCwon">#REF!</definedName>
    <definedName name="Uru2019RWCyc">#REF!</definedName>
    <definedName name="Urualltestshistdrawn">#REF!</definedName>
    <definedName name="Urualltestshistlost">#REF!</definedName>
    <definedName name="Urualltestshistplayed">#REF!</definedName>
    <definedName name="Urualltestshistptscon">#REF!</definedName>
    <definedName name="Urualltestshistptsscored">#REF!</definedName>
    <definedName name="Urualltestshisttriesscored">#REF!</definedName>
    <definedName name="Urualltestshistwon">#REF!</definedName>
    <definedName name="urulb">#REF!</definedName>
    <definedName name="urulbcon">#REF!</definedName>
    <definedName name="uruoveralldrawn">#REF!</definedName>
    <definedName name="uruoveralllost">#REF!</definedName>
    <definedName name="uruoverallpld">#REF!</definedName>
    <definedName name="uruoverallptsag">#REF!</definedName>
    <definedName name="uruoverallptsscored">#REF!</definedName>
    <definedName name="uruoveralltriescon">#REF!</definedName>
    <definedName name="uruoveralltriesscored">#REF!</definedName>
    <definedName name="uruoverallwon">#REF!</definedName>
    <definedName name="urupooldrawn">#REF!</definedName>
    <definedName name="urupoollost">#REF!</definedName>
    <definedName name="urupoolpld">#REF!</definedName>
    <definedName name="urupoolptsag">#REF!</definedName>
    <definedName name="urupoolptsscored">#REF!</definedName>
    <definedName name="urupooltriesscored">#REF!</definedName>
    <definedName name="urupoolwon">#REF!</definedName>
    <definedName name="urured">#REF!</definedName>
    <definedName name="UruRWChistdrawn">#REF!</definedName>
    <definedName name="UruRWChistlost">#REF!</definedName>
    <definedName name="UruRWChistplayed">#REF!</definedName>
    <definedName name="UruRWChistptscon">#REF!</definedName>
    <definedName name="UruRWChistptsscored">#REF!</definedName>
    <definedName name="UruRWChisttriesscored">#REF!</definedName>
    <definedName name="UruRWChistwon">#REF!</definedName>
    <definedName name="urutb">#REF!</definedName>
    <definedName name="urutbcon">#REF!</definedName>
    <definedName name="urutriescon">#REF!</definedName>
    <definedName name="uruyellow">#REF!</definedName>
    <definedName name="USA2019alltestsdrawn">#REF!</definedName>
    <definedName name="USA2019alltestslost">#REF!</definedName>
    <definedName name="USA2019alltestsplayed">#REF!</definedName>
    <definedName name="USA2019alltestsptscon">#REF!</definedName>
    <definedName name="USA2019alltestsptsscored">#REF!</definedName>
    <definedName name="USA2019allteststriescon">#REF!</definedName>
    <definedName name="USA2019allteststriesscored">#REF!</definedName>
    <definedName name="USA2019alltestswon">#REF!</definedName>
    <definedName name="USA2019pooldrawn">#REF!</definedName>
    <definedName name="USA2019poollbcon">#REF!</definedName>
    <definedName name="USA2019poollbscored">#REF!</definedName>
    <definedName name="USA2019poollost">#REF!</definedName>
    <definedName name="USA2019poolplayed">#REF!</definedName>
    <definedName name="USA2019poolptscon">#REF!</definedName>
    <definedName name="USA2019poolptsscored">#REF!</definedName>
    <definedName name="USA2019pooltbcon">#REF!</definedName>
    <definedName name="USA2019pooltbscored">#REF!</definedName>
    <definedName name="USA2019pooltriescon">#REF!</definedName>
    <definedName name="USA2019pooltriesscored">#REF!</definedName>
    <definedName name="USA2019poolwon">#REF!</definedName>
    <definedName name="USA2019RWCdrawn">#REF!</definedName>
    <definedName name="USA2019RWClost">#REF!</definedName>
    <definedName name="USA2019RWCplayed">#REF!</definedName>
    <definedName name="USA2019RWCptscon">#REF!</definedName>
    <definedName name="USA2019RWCptsscored">#REF!</definedName>
    <definedName name="USA2019RWCrc">#REF!</definedName>
    <definedName name="USA2019RWCtriescon">#REF!</definedName>
    <definedName name="USA2019RWCtriesscored">#REF!</definedName>
    <definedName name="USA2019RWCwon">#REF!</definedName>
    <definedName name="USA2019RWCyc">#REF!</definedName>
    <definedName name="usa2021wcpooldrawn">USA!#REF!</definedName>
    <definedName name="usa2021wcpoollbscored">USA!#REF!</definedName>
    <definedName name="usa2021wcpoollost">USA!#REF!</definedName>
    <definedName name="usa2021wcpoolplayed">USA!#REF!</definedName>
    <definedName name="usa2021wcpoolpointsagainst">USA!#REF!</definedName>
    <definedName name="usa2021wcpoolpointsscored">USA!#REF!</definedName>
    <definedName name="usa2021wcpooltbscored">USA!#REF!</definedName>
    <definedName name="usa2021wcpooltriesconceded">USA!#REF!</definedName>
    <definedName name="usa2021wcpooltriesscored">USA!#REF!</definedName>
    <definedName name="usa2021wcpoolwon">USA!#REF!</definedName>
    <definedName name="usa2021wcrc">USA!#REF!</definedName>
    <definedName name="usa2021wctbcon">USA!#REF!</definedName>
    <definedName name="usa2021wcyc">USA!#REF!</definedName>
    <definedName name="usalb">#REF!</definedName>
    <definedName name="usalbcon">#REF!</definedName>
    <definedName name="usaoveralldrawn">#REF!</definedName>
    <definedName name="usaoveralllost">#REF!</definedName>
    <definedName name="usaoverallpld">#REF!</definedName>
    <definedName name="usaoverallptsag">#REF!</definedName>
    <definedName name="usaoverallptsscored">#REF!</definedName>
    <definedName name="usaoveralltriescon">#REF!</definedName>
    <definedName name="usaoveralltriesscored">#REF!</definedName>
    <definedName name="usaoverallwon">#REF!</definedName>
    <definedName name="usap4drawn">USA!$AB$12</definedName>
    <definedName name="usap4lb">USA!$I$12</definedName>
    <definedName name="usap4lost">USA!$AC$12</definedName>
    <definedName name="usap4played">USA!$Z$12</definedName>
    <definedName name="usap4ptsconc">USA!$G$12</definedName>
    <definedName name="usap4ptsscored">USA!$F$12</definedName>
    <definedName name="usap4rc">USA!$O$12</definedName>
    <definedName name="usap4tb">USA!$H$12</definedName>
    <definedName name="usap4triesconc">USA!$R$12</definedName>
    <definedName name="usap4triesscored">USA!$J$12</definedName>
    <definedName name="usap4won">USA!$AA$12</definedName>
    <definedName name="usap4yc">USA!$N$12</definedName>
    <definedName name="usapooldrawn">#REF!</definedName>
    <definedName name="usapoollost">#REF!</definedName>
    <definedName name="usapoolpld">#REF!</definedName>
    <definedName name="usapoolptsag">#REF!</definedName>
    <definedName name="usapoolptsscored">#REF!</definedName>
    <definedName name="usapooltriescon">#REF!</definedName>
    <definedName name="usapooltriesscored">#REF!</definedName>
    <definedName name="usapoolwon">#REF!</definedName>
    <definedName name="usared">#REF!</definedName>
    <definedName name="usatb">#REF!</definedName>
    <definedName name="usatbcon">#REF!</definedName>
    <definedName name="usayellow">#REF!</definedName>
    <definedName name="vdrawn">#REF!</definedName>
    <definedName name="vlost">SCO!#REF!</definedName>
    <definedName name="vrc">#REF!</definedName>
    <definedName name="vtriesscored">#REF!</definedName>
    <definedName name="vwon">#REF!</definedName>
    <definedName name="Wal2019alltestsdrawn">WAL!$AB$15</definedName>
    <definedName name="Wal2019alltestslostcorrect">WAL!$AC$15</definedName>
    <definedName name="Wal2019alltestsplayed">WAL!$Z$15</definedName>
    <definedName name="Wal2019alltestsptscon">WAL!$G$15</definedName>
    <definedName name="Wal2019alltestsptsscored">WAL!$F$15</definedName>
    <definedName name="Wal2019allteststriescon">WAL!$R$15</definedName>
    <definedName name="Wal2019allteststriesscored">WAL!$J$15</definedName>
    <definedName name="Wal2019alltestswon">WAL!$AA$15</definedName>
    <definedName name="Wal2019pooldrawn">WAL!#REF!</definedName>
    <definedName name="Wal2019poollbcon">WAL!#REF!</definedName>
    <definedName name="Wal2019poollbscored">WAL!#REF!</definedName>
    <definedName name="Wal2019poollostcorrect">WAL!#REF!</definedName>
    <definedName name="Wal2019poolplayed">WAL!#REF!</definedName>
    <definedName name="Wal2019poolptscon">WAL!#REF!</definedName>
    <definedName name="Wal2019poolptsscored">WAL!#REF!</definedName>
    <definedName name="Wal2019pooltbcon">WAL!#REF!</definedName>
    <definedName name="Wal2019pooltbscored">WAL!#REF!</definedName>
    <definedName name="Wal2019pooltriescon">WAL!#REF!</definedName>
    <definedName name="Wal2019pooltriesscored">WAL!#REF!</definedName>
    <definedName name="Wal2019poolwon">WAL!#REF!</definedName>
    <definedName name="Wal2019RWCdrawn">WAL!#REF!</definedName>
    <definedName name="Wal2019RWClost">WAL!#REF!</definedName>
    <definedName name="Wal2019RWCplayed">WAL!#REF!</definedName>
    <definedName name="Wal2019RWCptscon">WAL!#REF!</definedName>
    <definedName name="Wal2019RWCptsscored">WAL!#REF!</definedName>
    <definedName name="Wal2019RWCrc">WAL!#REF!</definedName>
    <definedName name="Wal2019RWCtriescon">WAL!#REF!</definedName>
    <definedName name="Wal2019RWCtriesscored">WAL!#REF!</definedName>
    <definedName name="Wal2019RWCwon">WAL!#REF!</definedName>
    <definedName name="Wal2019RWCyc">WAL!#REF!</definedName>
    <definedName name="wal2021wcpooldrawn">WAL!#REF!</definedName>
    <definedName name="wal2021wcpoollbscored">WAL!#REF!</definedName>
    <definedName name="wal2021wcpoollost">WAL!#REF!</definedName>
    <definedName name="wal2021wcpoolplayed">WAL!#REF!</definedName>
    <definedName name="wal2021wcpoolpointsagainst">WAL!#REF!</definedName>
    <definedName name="wal2021wcpoolpointsscored">WAL!#REF!</definedName>
    <definedName name="wal2021wcpooltbscored">WAL!#REF!</definedName>
    <definedName name="wal2021wcpooltriesconceded">WAL!#REF!</definedName>
    <definedName name="wal2021wcpooltriesscored">WAL!#REF!</definedName>
    <definedName name="wal2021wcpoolwon">WAL!#REF!</definedName>
    <definedName name="wal2021wcrc">WAL!#REF!</definedName>
    <definedName name="wal2021wctbcon">WAL!#REF!</definedName>
    <definedName name="wal2021wcyc">WAL!#REF!</definedName>
    <definedName name="wal6nrc">WAL!$O$13</definedName>
    <definedName name="wal6nyc">WAL!$N$13</definedName>
    <definedName name="Walesalltestshistdrawn">#REF!</definedName>
    <definedName name="Walesalltestshistlost">#REF!</definedName>
    <definedName name="Walesalltestshistplayed">#REF!</definedName>
    <definedName name="Walesalltestshistptscon">#REF!</definedName>
    <definedName name="Walesalltestshistptsscored">#REF!</definedName>
    <definedName name="Walesalltestshisttriesscored">#REF!</definedName>
    <definedName name="Walesalltestshistwon">#REF!</definedName>
    <definedName name="Walesdrawn">WAL!$AB$13</definedName>
    <definedName name="Waleslosingbonus">WAL!$I$13</definedName>
    <definedName name="Waleslost">WAL!$AC$13</definedName>
    <definedName name="Walesplayed">WAL!$Z$13</definedName>
    <definedName name="Walesptsagainst">WAL!$G$13</definedName>
    <definedName name="Walesptsscored">WAL!$F$13</definedName>
    <definedName name="Walesred">WAL!$O$13</definedName>
    <definedName name="WalesRWChistdrawn">#REF!</definedName>
    <definedName name="WalesRWChistlost">#REF!</definedName>
    <definedName name="WalesRWChistplayed">#REF!</definedName>
    <definedName name="WalesRWChistptscon">#REF!</definedName>
    <definedName name="WalesRWChistptsscored">#REF!</definedName>
    <definedName name="WalesRWChisttriesscored">#REF!</definedName>
    <definedName name="WalesRWChistwon">#REF!</definedName>
    <definedName name="Walestriesagainst">WAL!$R$13</definedName>
    <definedName name="Walestriesscored">WAL!$J$13</definedName>
    <definedName name="Walestrybonus">WAL!$H$13</definedName>
    <definedName name="Waleswon">WAL!$AA$13</definedName>
    <definedName name="Walesyellow">WAL!$N$13</definedName>
    <definedName name="wallb">WAL!#REF!</definedName>
    <definedName name="wallbcon">WAL!#REF!</definedName>
    <definedName name="waloveralldrawn">WAL!#REF!</definedName>
    <definedName name="waloveralllost">WAL!#REF!</definedName>
    <definedName name="waloverallpld">WAL!#REF!</definedName>
    <definedName name="waloverallptsscored">WAL!#REF!</definedName>
    <definedName name="waloveralltriescon">WAL!#REF!</definedName>
    <definedName name="waloveralltriesconcorr">WAL!#REF!</definedName>
    <definedName name="waloveralltriesscored">WAL!#REF!</definedName>
    <definedName name="waloverallwon">WAL!#REF!</definedName>
    <definedName name="walpooldrawn">WAL!#REF!</definedName>
    <definedName name="walpoollost">WAL!#REF!</definedName>
    <definedName name="walpoolpld">WAL!#REF!</definedName>
    <definedName name="walpoolptsag">WAL!#REF!</definedName>
    <definedName name="walpoolptsscored">WAL!#REF!</definedName>
    <definedName name="walpooltriescon">WAL!#REF!</definedName>
    <definedName name="walpooltriesscored">WAL!#REF!</definedName>
    <definedName name="walpoolwon">WAL!#REF!</definedName>
    <definedName name="walred">WAL!#REF!</definedName>
    <definedName name="walredcorr">WAL!#REF!</definedName>
    <definedName name="waltb">WAL!#REF!</definedName>
    <definedName name="waltbcon">WAL!#REF!</definedName>
    <definedName name="walyellow">WAL!#REF!</definedName>
    <definedName name="walyellowcorr">WAL!#REF!</definedName>
    <definedName name="waspsbonus">#REF!</definedName>
    <definedName name="waspsconceded">#REF!</definedName>
    <definedName name="waspsdrawn">#REF!</definedName>
    <definedName name="waspsdrawncorrect">#REF!</definedName>
    <definedName name="waspslosingbonus">#REF!</definedName>
    <definedName name="waspslosingbonusconceded">#REF!</definedName>
    <definedName name="waspslost">#REF!</definedName>
    <definedName name="waspsplayed">#REF!</definedName>
    <definedName name="waspspremred">[2]WAS!$O$40</definedName>
    <definedName name="Waspspremtotalsdgs">[1]WAS!$L$37</definedName>
    <definedName name="waspspremtotalsdrawn">[1]WAS!$AA$37</definedName>
    <definedName name="Waspspremtotalslost">[1]WAS!$AB$37</definedName>
    <definedName name="Waspspremtotalsplayed">[1]WAS!$Y$37</definedName>
    <definedName name="Waspspremtotalsptsagainst">[1]WAS!$G$37</definedName>
    <definedName name="Waspspremtotalsptsscored">[1]WAS!$F$37</definedName>
    <definedName name="Waspspremtotalsrc">[1]WAS!$O$37</definedName>
    <definedName name="Waspspremtotalstriesconceded">[1]WAS!$R$37</definedName>
    <definedName name="Waspspremtotalstriesscored">[1]WAS!$J$37</definedName>
    <definedName name="Waspspremtotalswon">[1]WAS!$Z$37</definedName>
    <definedName name="Waspspremtotalsyc">[1]WAS!$N$37</definedName>
    <definedName name="waspspremtrybonusconc">[1]WAS!$P$35</definedName>
    <definedName name="waspspremtrybonusscored">[1]WAS!$H$35</definedName>
    <definedName name="waspspremyellow">[2]WAS!$N$40</definedName>
    <definedName name="waspsred">#REF!</definedName>
    <definedName name="waspsscored">#REF!</definedName>
    <definedName name="waspstriesconceded">#REF!</definedName>
    <definedName name="waspstriesscored">#REF!</definedName>
    <definedName name="waspstrybonus">#REF!</definedName>
    <definedName name="waspstrybonusconceded">#REF!</definedName>
    <definedName name="waspswon">#REF!</definedName>
    <definedName name="waspsyellow">#REF!</definedName>
    <definedName name="welshlosingbonus">#REF!</definedName>
    <definedName name="welshtrybonus">#REF!</definedName>
    <definedName name="worbonus">#REF!</definedName>
    <definedName name="worcester201314triesagainst">#REF!</definedName>
    <definedName name="worcesterpremred">[2]WOR!$O$35</definedName>
    <definedName name="worcesterpremseasontotalsdgs">[1]WOR!$L$39</definedName>
    <definedName name="worcesterpremseasontotalsdrawn">[1]WOR!$AA$39</definedName>
    <definedName name="worcesterpremseasontotalslost">[1]WOR!$AB$39</definedName>
    <definedName name="worcesterpremseasontotalsplayed">[1]WOR!$Y$39</definedName>
    <definedName name="worcesterpremseasontotalsptsagainst">[1]WOR!$G$39</definedName>
    <definedName name="worcesterpremseasontotalsptsscored">[1]WOR!$F$39</definedName>
    <definedName name="worcesterpremseasontotalsRC">[1]WOR!$O$39</definedName>
    <definedName name="worcesterpremseasontotalstriesconceded">[1]WOR!$R$39</definedName>
    <definedName name="worcesterpremseasontotalstriesscoredcorrect">[1]WOR!$J$39</definedName>
    <definedName name="worcesterpremseasontotalswon">[1]WOR!$Z$39</definedName>
    <definedName name="worcesterpremseasontotalsYC">[1]WOR!$N$39</definedName>
    <definedName name="worcesterpremtrybonusconc">[1]WOR!$P$37</definedName>
    <definedName name="worcesterpremtrybonusscored">[1]WOR!$H$37</definedName>
    <definedName name="worcesterpremyellow">[2]WOR!$N$35</definedName>
    <definedName name="worcestertriesscored">#REF!</definedName>
    <definedName name="worconceded">#REF!</definedName>
    <definedName name="wordrawn">#REF!</definedName>
    <definedName name="worlosingbonus">#REF!</definedName>
    <definedName name="worlosingbonusconceded">#REF!</definedName>
    <definedName name="worlost">#REF!</definedName>
    <definedName name="worplayed">#REF!</definedName>
    <definedName name="worred">#REF!</definedName>
    <definedName name="worscored">#REF!</definedName>
    <definedName name="wortriesconceded">#REF!</definedName>
    <definedName name="wortriesscored">#REF!</definedName>
    <definedName name="wortrybonus">#REF!</definedName>
    <definedName name="wortrybonusconceded">#REF!</definedName>
    <definedName name="worwon">#REF!</definedName>
    <definedName name="woryellow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16" i="25" l="1"/>
  <c r="AN16" i="25"/>
  <c r="AM16" i="25"/>
  <c r="AL16" i="25"/>
  <c r="AK16" i="25"/>
  <c r="AJ16" i="25"/>
  <c r="AI16" i="25"/>
  <c r="AH16" i="25"/>
  <c r="AG16" i="25"/>
  <c r="AF16" i="25"/>
  <c r="AE16" i="25"/>
  <c r="AD16" i="25"/>
  <c r="AC16" i="25"/>
  <c r="AB16" i="25"/>
  <c r="AA16" i="25"/>
  <c r="Z16" i="25"/>
  <c r="R16" i="25"/>
  <c r="Q16" i="25"/>
  <c r="P16" i="25"/>
  <c r="O16" i="25"/>
  <c r="N16" i="25"/>
  <c r="M16" i="25"/>
  <c r="L16" i="25"/>
  <c r="K16" i="25"/>
  <c r="J16" i="25"/>
  <c r="I16" i="25"/>
  <c r="H16" i="25"/>
  <c r="G16" i="25"/>
  <c r="F16" i="25"/>
  <c r="AO15" i="25"/>
  <c r="AN15" i="25"/>
  <c r="AM15" i="25"/>
  <c r="AL15" i="25"/>
  <c r="AK15" i="25"/>
  <c r="AJ15" i="25"/>
  <c r="AI15" i="25"/>
  <c r="AH15" i="25"/>
  <c r="AG15" i="25"/>
  <c r="AF15" i="25"/>
  <c r="AE15" i="25"/>
  <c r="AD15" i="25"/>
  <c r="AC15" i="25"/>
  <c r="AB15" i="25"/>
  <c r="AA15" i="25"/>
  <c r="Z15" i="25"/>
  <c r="R15" i="25"/>
  <c r="Q15" i="25"/>
  <c r="P15" i="25"/>
  <c r="O15" i="25"/>
  <c r="N15" i="25"/>
  <c r="M15" i="25"/>
  <c r="L15" i="25"/>
  <c r="K15" i="25"/>
  <c r="J15" i="25"/>
  <c r="I15" i="25"/>
  <c r="H15" i="25"/>
  <c r="G15" i="25"/>
  <c r="F15" i="25"/>
  <c r="I14" i="25"/>
  <c r="AO18" i="11"/>
  <c r="AN18" i="11"/>
  <c r="AM18" i="11"/>
  <c r="AL18" i="11"/>
  <c r="AK18" i="11"/>
  <c r="AJ18" i="11"/>
  <c r="AI18" i="11"/>
  <c r="AH18" i="11"/>
  <c r="AG18" i="11"/>
  <c r="AF18" i="11"/>
  <c r="AE18" i="11"/>
  <c r="AD18" i="11"/>
  <c r="AC18" i="11"/>
  <c r="AB18" i="11"/>
  <c r="AA18" i="11"/>
  <c r="Z18" i="11"/>
  <c r="R18" i="11"/>
  <c r="Q18" i="11"/>
  <c r="P18" i="11"/>
  <c r="O18" i="11"/>
  <c r="M18" i="11"/>
  <c r="L18" i="11"/>
  <c r="K18" i="11"/>
  <c r="J18" i="11"/>
  <c r="I18" i="11"/>
  <c r="H18" i="11"/>
  <c r="G18" i="11"/>
  <c r="F18" i="11"/>
  <c r="AO17" i="11"/>
  <c r="AN17" i="11"/>
  <c r="AM17" i="11"/>
  <c r="AL17" i="11"/>
  <c r="AK17" i="11"/>
  <c r="AJ17" i="11"/>
  <c r="AI17" i="11"/>
  <c r="AH17" i="11"/>
  <c r="AG17" i="11"/>
  <c r="AF17" i="11"/>
  <c r="AE17" i="11"/>
  <c r="AD17" i="11"/>
  <c r="AC17" i="11"/>
  <c r="AB17" i="11"/>
  <c r="AA17" i="11"/>
  <c r="Z17" i="11"/>
  <c r="R17" i="11"/>
  <c r="Q17" i="11"/>
  <c r="P17" i="11"/>
  <c r="O17" i="11"/>
  <c r="N17" i="11"/>
  <c r="M17" i="11"/>
  <c r="L17" i="11"/>
  <c r="K17" i="11"/>
  <c r="J17" i="11"/>
  <c r="I17" i="11"/>
  <c r="H17" i="11"/>
  <c r="G17" i="11"/>
  <c r="F17" i="11"/>
  <c r="Q32" i="50"/>
  <c r="P32" i="50"/>
  <c r="Q9" i="50"/>
  <c r="P9" i="50"/>
  <c r="AO16" i="16"/>
  <c r="AN16" i="16"/>
  <c r="AM16" i="16"/>
  <c r="AL16" i="16"/>
  <c r="AK16" i="16"/>
  <c r="AJ16" i="16"/>
  <c r="AI16" i="16"/>
  <c r="AH16" i="16"/>
  <c r="AG16" i="16"/>
  <c r="AF16" i="16"/>
  <c r="AE16" i="16"/>
  <c r="AD16" i="16"/>
  <c r="AC16" i="16"/>
  <c r="AB16" i="16"/>
  <c r="AA16" i="16"/>
  <c r="Z16" i="16"/>
  <c r="R16" i="16"/>
  <c r="Q16" i="16"/>
  <c r="P16" i="16"/>
  <c r="O16" i="16"/>
  <c r="N16" i="16"/>
  <c r="M16" i="16"/>
  <c r="L16" i="16"/>
  <c r="K16" i="16"/>
  <c r="J16" i="16"/>
  <c r="I16" i="16"/>
  <c r="H16" i="16"/>
  <c r="G16" i="16"/>
  <c r="F16" i="16"/>
  <c r="AO15" i="16"/>
  <c r="AN15" i="16"/>
  <c r="AM15" i="16"/>
  <c r="AL15" i="16"/>
  <c r="AK15" i="16"/>
  <c r="AJ15" i="16"/>
  <c r="AI15" i="16"/>
  <c r="AH15" i="16"/>
  <c r="AG15" i="16"/>
  <c r="AF15" i="16"/>
  <c r="AE15" i="16"/>
  <c r="AD15" i="16"/>
  <c r="AC15" i="16"/>
  <c r="AB15" i="16"/>
  <c r="AA15" i="16"/>
  <c r="Z15" i="16"/>
  <c r="R15" i="16"/>
  <c r="Q15" i="16"/>
  <c r="P15" i="16"/>
  <c r="O15" i="16"/>
  <c r="N15" i="16"/>
  <c r="M15" i="16"/>
  <c r="L15" i="16"/>
  <c r="K15" i="16"/>
  <c r="J15" i="16"/>
  <c r="I15" i="16"/>
  <c r="H15" i="16"/>
  <c r="G15" i="16"/>
  <c r="F15" i="16"/>
  <c r="AO17" i="13"/>
  <c r="AN17" i="13"/>
  <c r="AM17" i="13"/>
  <c r="AL17" i="13"/>
  <c r="AK17" i="13"/>
  <c r="AJ17" i="13"/>
  <c r="AI17" i="13"/>
  <c r="AH17" i="13"/>
  <c r="AG17" i="13"/>
  <c r="AF17" i="13"/>
  <c r="AE17" i="13"/>
  <c r="AD17" i="13"/>
  <c r="AC17" i="13"/>
  <c r="AB17" i="13"/>
  <c r="AA17" i="13"/>
  <c r="Z17" i="13"/>
  <c r="R17" i="13"/>
  <c r="Q17" i="13"/>
  <c r="P17" i="13"/>
  <c r="O17" i="13"/>
  <c r="N17" i="13"/>
  <c r="M17" i="13"/>
  <c r="L17" i="13"/>
  <c r="K17" i="13"/>
  <c r="J17" i="13"/>
  <c r="I17" i="13"/>
  <c r="H17" i="13"/>
  <c r="G17" i="13"/>
  <c r="F17" i="13"/>
  <c r="AO16" i="13"/>
  <c r="AN16" i="13"/>
  <c r="AM16" i="13"/>
  <c r="AL16" i="13"/>
  <c r="AK16" i="13"/>
  <c r="AJ16" i="13"/>
  <c r="AI16" i="13"/>
  <c r="AH16" i="13"/>
  <c r="AG16" i="13"/>
  <c r="AF16" i="13"/>
  <c r="AE16" i="13"/>
  <c r="AD16" i="13"/>
  <c r="AC16" i="13"/>
  <c r="AB16" i="13"/>
  <c r="AA16" i="13"/>
  <c r="Z16" i="13"/>
  <c r="R16" i="13"/>
  <c r="Q16" i="13"/>
  <c r="P16" i="13"/>
  <c r="O16" i="13"/>
  <c r="N16" i="13"/>
  <c r="M16" i="13"/>
  <c r="L16" i="13"/>
  <c r="K16" i="13"/>
  <c r="J16" i="13"/>
  <c r="I16" i="13"/>
  <c r="H16" i="13"/>
  <c r="G16" i="13"/>
  <c r="F16" i="13"/>
  <c r="AO16" i="35"/>
  <c r="AN16" i="35"/>
  <c r="AM16" i="35"/>
  <c r="AL16" i="35"/>
  <c r="AK16" i="35"/>
  <c r="AJ16" i="35"/>
  <c r="AI16" i="35"/>
  <c r="AH16" i="35"/>
  <c r="AG16" i="35"/>
  <c r="AF16" i="35"/>
  <c r="AE16" i="35"/>
  <c r="AD16" i="35"/>
  <c r="AC16" i="35"/>
  <c r="AB16" i="35"/>
  <c r="AA16" i="35"/>
  <c r="Z16" i="35"/>
  <c r="R16" i="35"/>
  <c r="Q16" i="35"/>
  <c r="P16" i="35"/>
  <c r="O16" i="35"/>
  <c r="N16" i="35"/>
  <c r="M16" i="35"/>
  <c r="L16" i="35"/>
  <c r="K16" i="35"/>
  <c r="J16" i="35"/>
  <c r="I16" i="35"/>
  <c r="H16" i="35"/>
  <c r="G16" i="35"/>
  <c r="F16" i="35"/>
  <c r="AO18" i="38"/>
  <c r="AN18" i="38"/>
  <c r="AM18" i="38"/>
  <c r="AL18" i="38"/>
  <c r="AK18" i="38"/>
  <c r="AJ18" i="38"/>
  <c r="AI18" i="38"/>
  <c r="AH18" i="38"/>
  <c r="AG18" i="38"/>
  <c r="AF18" i="38"/>
  <c r="AE18" i="38"/>
  <c r="AD18" i="38"/>
  <c r="AC18" i="38"/>
  <c r="AB18" i="38"/>
  <c r="AA18" i="38"/>
  <c r="Z18" i="38"/>
  <c r="R18" i="38"/>
  <c r="Q18" i="38"/>
  <c r="P18" i="38"/>
  <c r="O18" i="38"/>
  <c r="N18" i="38"/>
  <c r="M18" i="38"/>
  <c r="L18" i="38"/>
  <c r="K18" i="38"/>
  <c r="J18" i="38"/>
  <c r="I18" i="38"/>
  <c r="H18" i="38"/>
  <c r="G18" i="38"/>
  <c r="F18" i="38"/>
  <c r="AO17" i="38"/>
  <c r="AN17" i="38"/>
  <c r="AM17" i="38"/>
  <c r="AL17" i="38"/>
  <c r="AK17" i="38"/>
  <c r="AJ17" i="38"/>
  <c r="AI17" i="38"/>
  <c r="AH17" i="38"/>
  <c r="AG17" i="38"/>
  <c r="AF17" i="38"/>
  <c r="AE17" i="38"/>
  <c r="AD17" i="38"/>
  <c r="AC17" i="38"/>
  <c r="AB17" i="38"/>
  <c r="AA17" i="38"/>
  <c r="Z17" i="38"/>
  <c r="R17" i="38"/>
  <c r="Q17" i="38"/>
  <c r="P17" i="38"/>
  <c r="O17" i="38"/>
  <c r="N17" i="38"/>
  <c r="M17" i="38"/>
  <c r="L17" i="38"/>
  <c r="K17" i="38"/>
  <c r="J17" i="38"/>
  <c r="I17" i="38"/>
  <c r="H17" i="38"/>
  <c r="G17" i="38"/>
  <c r="F17" i="38"/>
  <c r="B66" i="49" l="1"/>
  <c r="A66" i="49"/>
  <c r="B62" i="49"/>
  <c r="A62" i="49"/>
  <c r="B63" i="49" s="1"/>
  <c r="B67" i="49" l="1"/>
  <c r="B68" i="49" s="1"/>
  <c r="AO15" i="41" l="1"/>
  <c r="AN15" i="41"/>
  <c r="AM15" i="41"/>
  <c r="AL15" i="41"/>
  <c r="AK15" i="41"/>
  <c r="AJ15" i="41"/>
  <c r="AI15" i="41"/>
  <c r="AH15" i="41"/>
  <c r="AG15" i="41"/>
  <c r="AF15" i="41"/>
  <c r="AE15" i="41"/>
  <c r="AD15" i="41"/>
  <c r="AC15" i="41"/>
  <c r="AB15" i="41"/>
  <c r="AA15" i="41"/>
  <c r="Z15" i="41"/>
  <c r="R15" i="41"/>
  <c r="Q15" i="41"/>
  <c r="P15" i="41"/>
  <c r="O15" i="41"/>
  <c r="N15" i="41"/>
  <c r="M15" i="41"/>
  <c r="L15" i="41"/>
  <c r="K15" i="41"/>
  <c r="J15" i="41"/>
  <c r="I15" i="41"/>
  <c r="H15" i="41"/>
  <c r="G15" i="41"/>
  <c r="F15" i="41"/>
  <c r="AO13" i="41"/>
  <c r="AN13" i="41"/>
  <c r="AM13" i="41"/>
  <c r="AL13" i="41"/>
  <c r="AK13" i="41"/>
  <c r="AJ13" i="41"/>
  <c r="AI13" i="41"/>
  <c r="AH13" i="41"/>
  <c r="AG13" i="41"/>
  <c r="AF13" i="41"/>
  <c r="AE13" i="41"/>
  <c r="AD13" i="41"/>
  <c r="AC13" i="41"/>
  <c r="AB13" i="41"/>
  <c r="AA13" i="41"/>
  <c r="Z13" i="41"/>
  <c r="R13" i="41"/>
  <c r="Q13" i="41"/>
  <c r="P13" i="41"/>
  <c r="O13" i="41"/>
  <c r="N13" i="41"/>
  <c r="M13" i="41"/>
  <c r="L13" i="41"/>
  <c r="K13" i="41"/>
  <c r="J13" i="41"/>
  <c r="I13" i="41"/>
  <c r="H13" i="41"/>
  <c r="G13" i="41"/>
  <c r="F13" i="41"/>
  <c r="AO15" i="40"/>
  <c r="AN15" i="40"/>
  <c r="AM15" i="40"/>
  <c r="AL15" i="40"/>
  <c r="AK15" i="40"/>
  <c r="AJ15" i="40"/>
  <c r="AI15" i="40"/>
  <c r="AH15" i="40"/>
  <c r="AG15" i="40"/>
  <c r="AF15" i="40"/>
  <c r="AE15" i="40"/>
  <c r="AD15" i="40"/>
  <c r="AC15" i="40"/>
  <c r="AB15" i="40"/>
  <c r="AA15" i="40"/>
  <c r="Z15" i="40"/>
  <c r="R15" i="40"/>
  <c r="Q15" i="40"/>
  <c r="P15" i="40"/>
  <c r="O15" i="40"/>
  <c r="N15" i="40"/>
  <c r="M15" i="40"/>
  <c r="L15" i="40"/>
  <c r="K15" i="40"/>
  <c r="J15" i="40"/>
  <c r="I15" i="40"/>
  <c r="H15" i="40"/>
  <c r="G15" i="40"/>
  <c r="AO14" i="40"/>
  <c r="AN14" i="40"/>
  <c r="AM14" i="40"/>
  <c r="AL14" i="40"/>
  <c r="AK14" i="40"/>
  <c r="AJ14" i="40"/>
  <c r="AI14" i="40"/>
  <c r="AH14" i="40"/>
  <c r="AG14" i="40"/>
  <c r="AF14" i="40"/>
  <c r="AE14" i="40"/>
  <c r="AD14" i="40"/>
  <c r="AC14" i="40"/>
  <c r="AB14" i="40"/>
  <c r="AA14" i="40"/>
  <c r="Z14" i="40"/>
  <c r="R14" i="40"/>
  <c r="Q14" i="40"/>
  <c r="P14" i="40"/>
  <c r="O14" i="40"/>
  <c r="N14" i="40"/>
  <c r="M14" i="40"/>
  <c r="L14" i="40"/>
  <c r="K14" i="40"/>
  <c r="J14" i="40"/>
  <c r="I14" i="40"/>
  <c r="H14" i="40"/>
  <c r="G14" i="40"/>
  <c r="F15" i="40"/>
  <c r="F14" i="40"/>
  <c r="Q16" i="50"/>
  <c r="P16" i="50"/>
  <c r="Q33" i="50"/>
  <c r="P33" i="50"/>
  <c r="Q5" i="50"/>
  <c r="P5" i="50"/>
  <c r="AA13" i="17"/>
  <c r="AO14" i="25" l="1"/>
  <c r="AN14" i="25"/>
  <c r="AM14" i="25"/>
  <c r="AL14" i="25"/>
  <c r="AK14" i="25"/>
  <c r="AJ14" i="25"/>
  <c r="AI14" i="25"/>
  <c r="AH14" i="25"/>
  <c r="AG14" i="25"/>
  <c r="AF14" i="25"/>
  <c r="AE14" i="25"/>
  <c r="AD14" i="25"/>
  <c r="AC14" i="25"/>
  <c r="AB14" i="25"/>
  <c r="AA14" i="25"/>
  <c r="Z14" i="25"/>
  <c r="R14" i="25"/>
  <c r="Q14" i="25"/>
  <c r="P14" i="25"/>
  <c r="O14" i="25"/>
  <c r="N14" i="25"/>
  <c r="M14" i="25"/>
  <c r="L14" i="25"/>
  <c r="K14" i="25"/>
  <c r="J14" i="25"/>
  <c r="H14" i="25"/>
  <c r="G14" i="25"/>
  <c r="AO15" i="35"/>
  <c r="AN15" i="35"/>
  <c r="AM15" i="35"/>
  <c r="AL15" i="35"/>
  <c r="AK15" i="35"/>
  <c r="AJ15" i="35"/>
  <c r="AI15" i="35"/>
  <c r="AH15" i="35"/>
  <c r="AG15" i="35"/>
  <c r="AF15" i="35"/>
  <c r="AE15" i="35"/>
  <c r="AD15" i="35"/>
  <c r="AC15" i="35"/>
  <c r="AB15" i="35"/>
  <c r="AA15" i="35"/>
  <c r="Z15" i="35"/>
  <c r="R15" i="35"/>
  <c r="Q15" i="35"/>
  <c r="P15" i="35"/>
  <c r="O15" i="35"/>
  <c r="N15" i="35"/>
  <c r="M15" i="35"/>
  <c r="L15" i="35"/>
  <c r="K15" i="35"/>
  <c r="J15" i="35"/>
  <c r="I15" i="35"/>
  <c r="H15" i="35"/>
  <c r="G15" i="35"/>
  <c r="F15" i="35"/>
  <c r="AO13" i="30" l="1"/>
  <c r="AN13" i="30"/>
  <c r="AM13" i="30"/>
  <c r="AL13" i="30"/>
  <c r="AK13" i="30"/>
  <c r="AJ13" i="30"/>
  <c r="AI13" i="30"/>
  <c r="AH13" i="30"/>
  <c r="AG13" i="30"/>
  <c r="AF13" i="30"/>
  <c r="AE13" i="30"/>
  <c r="AD13" i="30"/>
  <c r="AC13" i="30"/>
  <c r="AB13" i="30"/>
  <c r="AA13" i="30"/>
  <c r="Z13" i="30"/>
  <c r="R13" i="30"/>
  <c r="Q13" i="30"/>
  <c r="P13" i="30"/>
  <c r="O13" i="30"/>
  <c r="N13" i="30"/>
  <c r="M13" i="30"/>
  <c r="L13" i="30"/>
  <c r="K13" i="30"/>
  <c r="J13" i="30"/>
  <c r="I13" i="30"/>
  <c r="H13" i="30"/>
  <c r="G13" i="30"/>
  <c r="F13" i="30"/>
  <c r="AO11" i="53"/>
  <c r="AN11" i="53"/>
  <c r="AM11" i="53"/>
  <c r="AL11" i="53"/>
  <c r="AK11" i="53"/>
  <c r="AJ11" i="53"/>
  <c r="AI11" i="53"/>
  <c r="AH11" i="53"/>
  <c r="AG11" i="53"/>
  <c r="AF11" i="53"/>
  <c r="AE11" i="53"/>
  <c r="AD11" i="53"/>
  <c r="AC11" i="53"/>
  <c r="AB11" i="53"/>
  <c r="AA11" i="53"/>
  <c r="Z11" i="53"/>
  <c r="R11" i="53"/>
  <c r="Q11" i="53"/>
  <c r="P11" i="53"/>
  <c r="O11" i="53"/>
  <c r="N11" i="53"/>
  <c r="M11" i="53"/>
  <c r="L11" i="53"/>
  <c r="K11" i="53"/>
  <c r="J11" i="53"/>
  <c r="I11" i="53"/>
  <c r="H11" i="53"/>
  <c r="G11" i="53"/>
  <c r="F11" i="53"/>
  <c r="AO14" i="16"/>
  <c r="AN14" i="16"/>
  <c r="AM14" i="16"/>
  <c r="AL14" i="16"/>
  <c r="AK14" i="16"/>
  <c r="AJ14" i="16"/>
  <c r="AI14" i="16"/>
  <c r="AH14" i="16"/>
  <c r="AG14" i="16"/>
  <c r="AF14" i="16"/>
  <c r="AO15" i="13"/>
  <c r="AN15" i="13"/>
  <c r="AM15" i="13"/>
  <c r="AL15" i="13"/>
  <c r="AK15" i="13"/>
  <c r="AJ15" i="13"/>
  <c r="AI15" i="13"/>
  <c r="AH15" i="13"/>
  <c r="AG15" i="13"/>
  <c r="AF15" i="13"/>
  <c r="AE15" i="13"/>
  <c r="AD15" i="13"/>
  <c r="O38" i="50" l="1"/>
  <c r="O16" i="50"/>
  <c r="F14" i="50"/>
  <c r="AH33" i="54" l="1"/>
  <c r="AH32" i="54"/>
  <c r="AH31" i="54"/>
  <c r="AH30" i="54"/>
  <c r="AH29" i="54"/>
  <c r="AH28" i="54"/>
  <c r="AB33" i="54"/>
  <c r="AB32" i="54"/>
  <c r="AI32" i="54" s="1"/>
  <c r="AB31" i="54"/>
  <c r="AI31" i="54" s="1"/>
  <c r="AB30" i="54"/>
  <c r="AB29" i="54"/>
  <c r="AB28" i="54"/>
  <c r="AH13" i="54"/>
  <c r="AH12" i="54"/>
  <c r="AH11" i="54"/>
  <c r="AH10" i="54"/>
  <c r="AH9" i="54"/>
  <c r="AH8" i="54"/>
  <c r="AB13" i="54"/>
  <c r="AB12" i="54"/>
  <c r="AB11" i="54"/>
  <c r="AB10" i="54"/>
  <c r="AB9" i="54"/>
  <c r="AB8" i="54"/>
  <c r="O50" i="54"/>
  <c r="O49" i="54"/>
  <c r="O48" i="54"/>
  <c r="O47" i="54"/>
  <c r="O46" i="54"/>
  <c r="O45" i="54"/>
  <c r="T31" i="54"/>
  <c r="T30" i="54"/>
  <c r="T29" i="54"/>
  <c r="T28" i="54"/>
  <c r="T27" i="54"/>
  <c r="T26" i="54"/>
  <c r="O31" i="54"/>
  <c r="O30" i="54"/>
  <c r="O29" i="54"/>
  <c r="O28" i="54"/>
  <c r="O27" i="54"/>
  <c r="O26" i="54"/>
  <c r="T12" i="54"/>
  <c r="T11" i="54"/>
  <c r="T10" i="54"/>
  <c r="T9" i="54"/>
  <c r="T8" i="54"/>
  <c r="T7" i="54"/>
  <c r="O12" i="54"/>
  <c r="O11" i="54"/>
  <c r="O10" i="54"/>
  <c r="O9" i="54"/>
  <c r="O8" i="54"/>
  <c r="O7" i="54"/>
  <c r="O56" i="54"/>
  <c r="O55" i="54"/>
  <c r="O54" i="54"/>
  <c r="I29" i="54"/>
  <c r="H29" i="54"/>
  <c r="F29" i="54"/>
  <c r="D29" i="54"/>
  <c r="B29" i="54"/>
  <c r="O53" i="54"/>
  <c r="O52" i="54"/>
  <c r="O51" i="54"/>
  <c r="O44" i="54"/>
  <c r="O43" i="54"/>
  <c r="O42" i="54"/>
  <c r="O41" i="54"/>
  <c r="AG40" i="54"/>
  <c r="AH39" i="54"/>
  <c r="AB39" i="54"/>
  <c r="AH38" i="54"/>
  <c r="AB38" i="54"/>
  <c r="AI38" i="54" s="1"/>
  <c r="AH37" i="54"/>
  <c r="AB37" i="54"/>
  <c r="T37" i="54"/>
  <c r="O37" i="54"/>
  <c r="AH36" i="54"/>
  <c r="AB36" i="54"/>
  <c r="T36" i="54"/>
  <c r="O36" i="54"/>
  <c r="AH35" i="54"/>
  <c r="AB35" i="54"/>
  <c r="T35" i="54"/>
  <c r="O35" i="54"/>
  <c r="AH34" i="54"/>
  <c r="AB34" i="54"/>
  <c r="AI34" i="54" s="1"/>
  <c r="T34" i="54"/>
  <c r="O34" i="54"/>
  <c r="AH27" i="54"/>
  <c r="AB27" i="54"/>
  <c r="T33" i="54"/>
  <c r="O33" i="54"/>
  <c r="AH26" i="54"/>
  <c r="AB26" i="54"/>
  <c r="AI26" i="54" s="1"/>
  <c r="T32" i="54"/>
  <c r="O32" i="54"/>
  <c r="AH25" i="54"/>
  <c r="AB25" i="54"/>
  <c r="T25" i="54"/>
  <c r="O25" i="54"/>
  <c r="AH24" i="54"/>
  <c r="AB24" i="54"/>
  <c r="T24" i="54"/>
  <c r="O24" i="54"/>
  <c r="T23" i="54"/>
  <c r="O23" i="54"/>
  <c r="T22" i="54"/>
  <c r="O22" i="54"/>
  <c r="AG20" i="54"/>
  <c r="AH19" i="54"/>
  <c r="AB19" i="54"/>
  <c r="AH18" i="54"/>
  <c r="AB18" i="54"/>
  <c r="T18" i="54"/>
  <c r="O18" i="54"/>
  <c r="AH17" i="54"/>
  <c r="AB17" i="54"/>
  <c r="T17" i="54"/>
  <c r="O17" i="54"/>
  <c r="AH16" i="54"/>
  <c r="AB16" i="54"/>
  <c r="T16" i="54"/>
  <c r="O16" i="54"/>
  <c r="AH15" i="54"/>
  <c r="AB15" i="54"/>
  <c r="T15" i="54"/>
  <c r="O15" i="54"/>
  <c r="AH14" i="54"/>
  <c r="AB14" i="54"/>
  <c r="AI14" i="54" s="1"/>
  <c r="T14" i="54"/>
  <c r="O14" i="54"/>
  <c r="AH7" i="54"/>
  <c r="AB7" i="54"/>
  <c r="T13" i="54"/>
  <c r="O13" i="54"/>
  <c r="AH6" i="54"/>
  <c r="AB6" i="54"/>
  <c r="AI6" i="54" s="1"/>
  <c r="T6" i="54"/>
  <c r="O6" i="54"/>
  <c r="AH5" i="54"/>
  <c r="AB5" i="54"/>
  <c r="AI5" i="54" s="1"/>
  <c r="T5" i="54"/>
  <c r="O5" i="54"/>
  <c r="AH4" i="54"/>
  <c r="AB4" i="54"/>
  <c r="AI4" i="54" s="1"/>
  <c r="T4" i="54"/>
  <c r="O4" i="54"/>
  <c r="T3" i="54"/>
  <c r="O3" i="54"/>
  <c r="H19" i="54"/>
  <c r="F19" i="54"/>
  <c r="D19" i="54"/>
  <c r="B19" i="54"/>
  <c r="AI17" i="54" l="1"/>
  <c r="AI29" i="54"/>
  <c r="AI18" i="54"/>
  <c r="AI25" i="54"/>
  <c r="AI27" i="54"/>
  <c r="AI30" i="54"/>
  <c r="AI13" i="54"/>
  <c r="AI39" i="54"/>
  <c r="AI37" i="54"/>
  <c r="AI7" i="54"/>
  <c r="AI16" i="54"/>
  <c r="AI28" i="54"/>
  <c r="AI19" i="54"/>
  <c r="U18" i="54"/>
  <c r="AI33" i="54"/>
  <c r="AI36" i="54"/>
  <c r="AI15" i="54"/>
  <c r="AI12" i="54"/>
  <c r="AI24" i="54"/>
  <c r="AI35" i="54"/>
  <c r="AI8" i="54"/>
  <c r="AI9" i="54"/>
  <c r="AI10" i="54"/>
  <c r="AI11" i="54"/>
  <c r="U23" i="54"/>
  <c r="U13" i="54"/>
  <c r="U37" i="54"/>
  <c r="U24" i="54"/>
  <c r="U35" i="54"/>
  <c r="U33" i="54"/>
  <c r="U14" i="54"/>
  <c r="U4" i="54"/>
  <c r="U15" i="54"/>
  <c r="U7" i="54"/>
  <c r="U8" i="54"/>
  <c r="U9" i="54"/>
  <c r="U30" i="54"/>
  <c r="U3" i="54"/>
  <c r="U31" i="54"/>
  <c r="U34" i="54"/>
  <c r="U5" i="54"/>
  <c r="U16" i="54"/>
  <c r="U10" i="54"/>
  <c r="U12" i="54"/>
  <c r="U25" i="54"/>
  <c r="U36" i="54"/>
  <c r="U26" i="54"/>
  <c r="U27" i="54"/>
  <c r="U28" i="54"/>
  <c r="U11" i="54"/>
  <c r="U29" i="54"/>
  <c r="U32" i="54"/>
  <c r="U6" i="54"/>
  <c r="U17" i="54"/>
  <c r="U22" i="54"/>
  <c r="AI20" i="54" l="1"/>
  <c r="AI40" i="54"/>
  <c r="U38" i="54"/>
  <c r="U19" i="54"/>
  <c r="AC15" i="13" l="1"/>
  <c r="AB15" i="13"/>
  <c r="AA15" i="13"/>
  <c r="Z15" i="13"/>
  <c r="R15" i="13"/>
  <c r="Q15" i="13"/>
  <c r="P15" i="13"/>
  <c r="O15" i="13"/>
  <c r="N15" i="13"/>
  <c r="M15" i="13"/>
  <c r="L15" i="13"/>
  <c r="K15" i="13"/>
  <c r="J15" i="13"/>
  <c r="I15" i="13"/>
  <c r="H15" i="13"/>
  <c r="G15" i="13"/>
  <c r="F15" i="13"/>
  <c r="AO13" i="17" l="1"/>
  <c r="AN13" i="17"/>
  <c r="AM13" i="17"/>
  <c r="AL13" i="17"/>
  <c r="AK13" i="17"/>
  <c r="AJ13" i="17"/>
  <c r="AI13" i="17"/>
  <c r="AH13" i="17"/>
  <c r="AG13" i="17"/>
  <c r="AF13" i="17"/>
  <c r="AE13" i="17"/>
  <c r="AD13" i="17"/>
  <c r="AC13" i="17"/>
  <c r="AB13" i="17"/>
  <c r="Z13" i="17"/>
  <c r="R13" i="17"/>
  <c r="Q13" i="17"/>
  <c r="P13" i="17"/>
  <c r="O13" i="17"/>
  <c r="N13" i="17"/>
  <c r="M13" i="17"/>
  <c r="L13" i="17"/>
  <c r="K13" i="17"/>
  <c r="J13" i="17"/>
  <c r="I13" i="17"/>
  <c r="H13" i="17"/>
  <c r="G13" i="17"/>
  <c r="F13" i="17"/>
  <c r="AO14" i="17"/>
  <c r="AN14" i="17"/>
  <c r="AM14" i="17"/>
  <c r="AL14" i="17"/>
  <c r="AK14" i="17"/>
  <c r="AJ14" i="17"/>
  <c r="AI14" i="17"/>
  <c r="AH14" i="17"/>
  <c r="AG14" i="17"/>
  <c r="AF14" i="17"/>
  <c r="AE14" i="17"/>
  <c r="AD14" i="17"/>
  <c r="AC14" i="17"/>
  <c r="AB14" i="17"/>
  <c r="AA14" i="17"/>
  <c r="Z14" i="17"/>
  <c r="R14" i="17"/>
  <c r="Q14" i="17"/>
  <c r="P14" i="17"/>
  <c r="O14" i="17"/>
  <c r="N14" i="17"/>
  <c r="M14" i="17"/>
  <c r="L14" i="17"/>
  <c r="K14" i="17"/>
  <c r="J14" i="17"/>
  <c r="I14" i="17"/>
  <c r="H14" i="17"/>
  <c r="G14" i="17"/>
  <c r="F14" i="17"/>
  <c r="AO14" i="51"/>
  <c r="AN14" i="51"/>
  <c r="AM14" i="51"/>
  <c r="AL14" i="51"/>
  <c r="AK14" i="51"/>
  <c r="AJ14" i="51"/>
  <c r="AI14" i="51"/>
  <c r="AH14" i="51"/>
  <c r="AG14" i="51"/>
  <c r="AF14" i="51"/>
  <c r="AE14" i="51"/>
  <c r="AD14" i="51"/>
  <c r="AC14" i="51"/>
  <c r="AB14" i="51"/>
  <c r="AA14" i="51"/>
  <c r="Z14" i="51"/>
  <c r="R14" i="51"/>
  <c r="Q14" i="51"/>
  <c r="P14" i="51"/>
  <c r="O14" i="51"/>
  <c r="N14" i="51"/>
  <c r="M14" i="51"/>
  <c r="L14" i="51"/>
  <c r="K14" i="51"/>
  <c r="J14" i="51"/>
  <c r="I14" i="51"/>
  <c r="H14" i="51"/>
  <c r="G14" i="51"/>
  <c r="F14" i="51"/>
  <c r="AO16" i="11" l="1"/>
  <c r="AN16" i="11"/>
  <c r="AM16" i="11"/>
  <c r="AL16" i="11"/>
  <c r="AK16" i="11"/>
  <c r="AJ16" i="11"/>
  <c r="AI16" i="11"/>
  <c r="AH16" i="11"/>
  <c r="AG16" i="11"/>
  <c r="AF16" i="11"/>
  <c r="AE16" i="11"/>
  <c r="AD16" i="11"/>
  <c r="AC16" i="11"/>
  <c r="AB16" i="11"/>
  <c r="AA16" i="11"/>
  <c r="Z16" i="11"/>
  <c r="R16" i="11"/>
  <c r="Q16" i="11"/>
  <c r="P16" i="11"/>
  <c r="O16" i="11"/>
  <c r="M16" i="11"/>
  <c r="L16" i="11"/>
  <c r="K16" i="11"/>
  <c r="J16" i="11"/>
  <c r="I16" i="11"/>
  <c r="H16" i="11"/>
  <c r="G16" i="11"/>
  <c r="F16" i="11"/>
  <c r="R14" i="16"/>
  <c r="Q14" i="16"/>
  <c r="P14" i="16"/>
  <c r="O14" i="16"/>
  <c r="N14" i="16"/>
  <c r="M14" i="16"/>
  <c r="L14" i="16"/>
  <c r="K14" i="16"/>
  <c r="J14" i="16"/>
  <c r="I14" i="16"/>
  <c r="H14" i="16"/>
  <c r="G14" i="16"/>
  <c r="AE14" i="16"/>
  <c r="AD14" i="16"/>
  <c r="AC14" i="16"/>
  <c r="AB14" i="16"/>
  <c r="AA14" i="16"/>
  <c r="Z14" i="16"/>
  <c r="F14" i="16"/>
  <c r="F14" i="25" l="1"/>
  <c r="AO10" i="36"/>
  <c r="AN10" i="36"/>
  <c r="AM10" i="36"/>
  <c r="AL10" i="36"/>
  <c r="AK10" i="36"/>
  <c r="AJ10" i="36"/>
  <c r="AI10" i="36"/>
  <c r="AH10" i="36"/>
  <c r="AG10" i="36"/>
  <c r="AF10" i="36"/>
  <c r="AE10" i="36"/>
  <c r="AD10" i="36"/>
  <c r="AC10" i="36"/>
  <c r="AB10" i="36"/>
  <c r="AA10" i="36"/>
  <c r="Z10" i="36"/>
  <c r="R10" i="36"/>
  <c r="Q10" i="36"/>
  <c r="P10" i="36"/>
  <c r="O10" i="36"/>
  <c r="N10" i="36"/>
  <c r="M10" i="36"/>
  <c r="L10" i="36"/>
  <c r="K10" i="36"/>
  <c r="J10" i="36"/>
  <c r="I10" i="36"/>
  <c r="H10" i="36"/>
  <c r="G10" i="36"/>
  <c r="F10" i="36"/>
  <c r="AO16" i="38" l="1"/>
  <c r="AN16" i="38"/>
  <c r="AM16" i="38"/>
  <c r="AL16" i="38"/>
  <c r="AK16" i="38"/>
  <c r="AJ16" i="38"/>
  <c r="AI16" i="38"/>
  <c r="AH16" i="38"/>
  <c r="AG16" i="38"/>
  <c r="AF16" i="38"/>
  <c r="AE16" i="38"/>
  <c r="AD16" i="38"/>
  <c r="AC16" i="38"/>
  <c r="AB16" i="38"/>
  <c r="AA16" i="38"/>
  <c r="Z16" i="38"/>
  <c r="R16" i="38"/>
  <c r="Q16" i="38"/>
  <c r="P16" i="38"/>
  <c r="O16" i="38"/>
  <c r="N16" i="38"/>
  <c r="M16" i="38"/>
  <c r="L16" i="38"/>
  <c r="K16" i="38"/>
  <c r="J16" i="38"/>
  <c r="I16" i="38"/>
  <c r="H16" i="38"/>
  <c r="G16" i="38"/>
  <c r="F16" i="38"/>
  <c r="AO14" i="41" l="1"/>
  <c r="AN14" i="41"/>
  <c r="AM14" i="41"/>
  <c r="AL14" i="41"/>
  <c r="AK14" i="41"/>
  <c r="AJ14" i="41"/>
  <c r="AI14" i="41"/>
  <c r="AH14" i="41"/>
  <c r="AG14" i="41"/>
  <c r="AF14" i="41"/>
  <c r="AE14" i="41"/>
  <c r="AD14" i="41"/>
  <c r="AC14" i="41"/>
  <c r="AB14" i="41"/>
  <c r="AA14" i="41"/>
  <c r="Z14" i="41"/>
  <c r="R14" i="41"/>
  <c r="Q14" i="41"/>
  <c r="P14" i="41"/>
  <c r="O14" i="41"/>
  <c r="N14" i="41"/>
  <c r="M14" i="41"/>
  <c r="L14" i="41"/>
  <c r="K14" i="41"/>
  <c r="J14" i="41"/>
  <c r="I14" i="41"/>
  <c r="H14" i="41"/>
  <c r="G14" i="41"/>
  <c r="F14" i="41"/>
  <c r="AO8" i="52"/>
  <c r="AN8" i="52"/>
  <c r="AM8" i="52"/>
  <c r="AL8" i="52"/>
  <c r="AK8" i="52"/>
  <c r="AJ8" i="52"/>
  <c r="AI8" i="52"/>
  <c r="AH8" i="52"/>
  <c r="AG8" i="52"/>
  <c r="AF8" i="52"/>
  <c r="AE8" i="52"/>
  <c r="AD8" i="52"/>
  <c r="AC8" i="52"/>
  <c r="AB8" i="52"/>
  <c r="AA8" i="52"/>
  <c r="Z8" i="52"/>
  <c r="R8" i="52"/>
  <c r="Q8" i="52"/>
  <c r="P8" i="52"/>
  <c r="O8" i="52"/>
  <c r="N8" i="52"/>
  <c r="M8" i="52"/>
  <c r="L8" i="52"/>
  <c r="K8" i="52"/>
  <c r="J8" i="52"/>
  <c r="I8" i="52"/>
  <c r="H8" i="52"/>
  <c r="G8" i="52"/>
  <c r="F8" i="52"/>
  <c r="AO10" i="52"/>
  <c r="AN10" i="52"/>
  <c r="AM10" i="52"/>
  <c r="AL10" i="52"/>
  <c r="AK10" i="52"/>
  <c r="AJ10" i="52"/>
  <c r="AI10" i="52"/>
  <c r="AH10" i="52"/>
  <c r="AG10" i="52"/>
  <c r="AF10" i="52"/>
  <c r="AE10" i="52"/>
  <c r="AD10" i="52"/>
  <c r="AC10" i="52"/>
  <c r="AB10" i="52"/>
  <c r="AA10" i="52"/>
  <c r="Z10" i="52"/>
  <c r="R10" i="52"/>
  <c r="Q10" i="52"/>
  <c r="P10" i="52"/>
  <c r="O10" i="52"/>
  <c r="N10" i="52"/>
  <c r="M10" i="52"/>
  <c r="L10" i="52"/>
  <c r="K10" i="52"/>
  <c r="J10" i="52"/>
  <c r="I10" i="52"/>
  <c r="H10" i="52"/>
  <c r="G10" i="52"/>
  <c r="F10" i="52"/>
  <c r="AO9" i="52"/>
  <c r="AN9" i="52"/>
  <c r="AM9" i="52"/>
  <c r="AL9" i="52"/>
  <c r="AK9" i="52"/>
  <c r="AJ9" i="52"/>
  <c r="AI9" i="52"/>
  <c r="AH9" i="52"/>
  <c r="AG9" i="52"/>
  <c r="AF9" i="52"/>
  <c r="AE9" i="52"/>
  <c r="AD9" i="52"/>
  <c r="AC9" i="52"/>
  <c r="AB9" i="52"/>
  <c r="AA9" i="52"/>
  <c r="Z9" i="52"/>
  <c r="R9" i="52"/>
  <c r="Q9" i="52"/>
  <c r="P9" i="52"/>
  <c r="O9" i="52"/>
  <c r="N9" i="52"/>
  <c r="M9" i="52"/>
  <c r="L9" i="52"/>
  <c r="K9" i="52"/>
  <c r="J9" i="52"/>
  <c r="I9" i="52"/>
  <c r="H9" i="52"/>
  <c r="G9" i="52"/>
  <c r="F9" i="52"/>
  <c r="AO12" i="53"/>
  <c r="AN12" i="53"/>
  <c r="AM12" i="53"/>
  <c r="AL12" i="53"/>
  <c r="AK12" i="53"/>
  <c r="AJ12" i="53"/>
  <c r="AI12" i="53"/>
  <c r="AH12" i="53"/>
  <c r="AG12" i="53"/>
  <c r="AF12" i="53"/>
  <c r="AE12" i="53"/>
  <c r="AD12" i="53"/>
  <c r="AC12" i="53"/>
  <c r="AB12" i="53"/>
  <c r="AA12" i="53"/>
  <c r="Z12" i="53"/>
  <c r="R12" i="53"/>
  <c r="Q12" i="53"/>
  <c r="P12" i="53"/>
  <c r="O12" i="53"/>
  <c r="N12" i="53"/>
  <c r="M12" i="53"/>
  <c r="L12" i="53"/>
  <c r="K12" i="53"/>
  <c r="J12" i="53"/>
  <c r="I12" i="53"/>
  <c r="H12" i="53"/>
  <c r="G12" i="53"/>
  <c r="F12" i="53"/>
  <c r="M29" i="48"/>
  <c r="L29" i="48"/>
  <c r="H29" i="48"/>
  <c r="G29" i="48"/>
  <c r="N28" i="48"/>
  <c r="I28" i="48"/>
  <c r="N26" i="48"/>
  <c r="I26" i="48"/>
  <c r="N27" i="48"/>
  <c r="I27" i="48"/>
  <c r="N25" i="48"/>
  <c r="I25" i="48"/>
  <c r="AO12" i="37"/>
  <c r="AN12" i="37"/>
  <c r="AM12" i="37"/>
  <c r="AL12" i="37"/>
  <c r="AK12" i="37"/>
  <c r="AJ12" i="37"/>
  <c r="AI12" i="37"/>
  <c r="AH12" i="37"/>
  <c r="AG12" i="37"/>
  <c r="AF12" i="37"/>
  <c r="AE12" i="37"/>
  <c r="AD12" i="37"/>
  <c r="AC12" i="37"/>
  <c r="AB12" i="37"/>
  <c r="AA12" i="37"/>
  <c r="Z12" i="37"/>
  <c r="R12" i="37"/>
  <c r="Q12" i="37"/>
  <c r="P12" i="37"/>
  <c r="O12" i="37"/>
  <c r="N12" i="37"/>
  <c r="M12" i="37"/>
  <c r="L12" i="37"/>
  <c r="K12" i="37"/>
  <c r="J12" i="37"/>
  <c r="I12" i="37"/>
  <c r="H12" i="37"/>
  <c r="G12" i="37"/>
  <c r="F12" i="37"/>
  <c r="AO14" i="35" l="1"/>
  <c r="AN14" i="35"/>
  <c r="AM14" i="35"/>
  <c r="AL14" i="35"/>
  <c r="AK14" i="35"/>
  <c r="AJ14" i="35"/>
  <c r="AI14" i="35"/>
  <c r="AH14" i="35"/>
  <c r="AG14" i="35"/>
  <c r="AF14" i="35"/>
  <c r="AE14" i="35"/>
  <c r="AD14" i="35"/>
  <c r="AC14" i="35"/>
  <c r="AB14" i="35"/>
  <c r="AA14" i="35"/>
  <c r="Z14" i="35"/>
  <c r="R14" i="35"/>
  <c r="Q14" i="35"/>
  <c r="P14" i="35"/>
  <c r="O14" i="35"/>
  <c r="N14" i="35"/>
  <c r="M14" i="35"/>
  <c r="L14" i="35"/>
  <c r="K14" i="35"/>
  <c r="J14" i="35"/>
  <c r="I14" i="35"/>
  <c r="H14" i="35"/>
  <c r="G14" i="35"/>
  <c r="F14" i="35"/>
  <c r="AO15" i="51" l="1"/>
  <c r="AN15" i="51"/>
  <c r="AM15" i="51"/>
  <c r="AL15" i="51"/>
  <c r="AK15" i="51"/>
  <c r="AJ15" i="51"/>
  <c r="AI15" i="51"/>
  <c r="AH15" i="51"/>
  <c r="AG15" i="51"/>
  <c r="AF15" i="51"/>
  <c r="AE15" i="51"/>
  <c r="AD15" i="51"/>
  <c r="AC15" i="51"/>
  <c r="AB15" i="51"/>
  <c r="AA15" i="51"/>
  <c r="Z15" i="51"/>
  <c r="R15" i="51"/>
  <c r="Q15" i="51"/>
  <c r="P15" i="51"/>
  <c r="O15" i="51"/>
  <c r="N15" i="51"/>
  <c r="M15" i="51"/>
  <c r="L15" i="51"/>
  <c r="K15" i="51"/>
  <c r="J15" i="51"/>
  <c r="I15" i="51"/>
  <c r="H15" i="51"/>
  <c r="G15" i="51"/>
  <c r="F15" i="51"/>
  <c r="AO16" i="51"/>
  <c r="AN16" i="51"/>
  <c r="AM16" i="51"/>
  <c r="AL16" i="51"/>
  <c r="AK16" i="51"/>
  <c r="AJ16" i="51"/>
  <c r="AI16" i="51"/>
  <c r="AH16" i="51"/>
  <c r="AG16" i="51"/>
  <c r="AF16" i="51"/>
  <c r="AE16" i="51"/>
  <c r="AD16" i="51"/>
  <c r="AC16" i="51"/>
  <c r="AB16" i="51"/>
  <c r="AA16" i="51"/>
  <c r="Z16" i="51"/>
  <c r="R16" i="51"/>
  <c r="Q16" i="51"/>
  <c r="P16" i="51"/>
  <c r="O16" i="51"/>
  <c r="N16" i="51"/>
  <c r="M16" i="51"/>
  <c r="L16" i="51"/>
  <c r="K16" i="51"/>
  <c r="J16" i="51"/>
  <c r="I16" i="51"/>
  <c r="H16" i="51"/>
  <c r="G16" i="51"/>
  <c r="F16" i="51"/>
  <c r="H19" i="33" l="1"/>
  <c r="F19" i="33"/>
  <c r="L20" i="33" l="1"/>
  <c r="N3" i="11" l="1"/>
  <c r="N16" i="11" l="1"/>
  <c r="N18" i="11"/>
  <c r="O36" i="50"/>
  <c r="O27" i="50"/>
  <c r="O30" i="50"/>
  <c r="O8" i="50"/>
  <c r="F18" i="50"/>
  <c r="AO11" i="36"/>
  <c r="AN11" i="36"/>
  <c r="AM11" i="36"/>
  <c r="AL11" i="36"/>
  <c r="AK11" i="36"/>
  <c r="AJ11" i="36"/>
  <c r="AI11" i="36"/>
  <c r="AH11" i="36"/>
  <c r="AG11" i="36"/>
  <c r="AF11" i="36"/>
  <c r="AE11" i="36"/>
  <c r="AD11" i="36"/>
  <c r="AC11" i="36"/>
  <c r="AB11" i="36"/>
  <c r="AA11" i="36"/>
  <c r="Z11" i="36"/>
  <c r="R11" i="36"/>
  <c r="Q11" i="36"/>
  <c r="P11" i="36"/>
  <c r="O11" i="36"/>
  <c r="N11" i="36"/>
  <c r="M11" i="36"/>
  <c r="L11" i="36"/>
  <c r="K11" i="36"/>
  <c r="J11" i="36"/>
  <c r="I11" i="36"/>
  <c r="H11" i="36"/>
  <c r="G11" i="36"/>
  <c r="F11" i="36"/>
  <c r="F5" i="50"/>
  <c r="O39" i="50"/>
  <c r="O5" i="50"/>
  <c r="O17" i="50"/>
  <c r="F8" i="50"/>
  <c r="O14" i="50"/>
  <c r="Q14" i="50" s="1"/>
  <c r="O15" i="50"/>
  <c r="O18" i="50"/>
  <c r="P18" i="50" s="1"/>
  <c r="AO15" i="30"/>
  <c r="AN15" i="30"/>
  <c r="AM15" i="30"/>
  <c r="AL15" i="30"/>
  <c r="AK15" i="30"/>
  <c r="AJ15" i="30"/>
  <c r="AI15" i="30"/>
  <c r="AH15" i="30"/>
  <c r="AG15" i="30"/>
  <c r="AF15" i="30"/>
  <c r="AE15" i="30"/>
  <c r="AD15" i="30"/>
  <c r="AC15" i="30"/>
  <c r="AB15" i="30"/>
  <c r="AA15" i="30"/>
  <c r="Z15" i="30"/>
  <c r="R15" i="30"/>
  <c r="Q15" i="30"/>
  <c r="P15" i="30"/>
  <c r="O15" i="30"/>
  <c r="N15" i="30"/>
  <c r="M15" i="30"/>
  <c r="L15" i="30"/>
  <c r="K15" i="30"/>
  <c r="J15" i="30"/>
  <c r="I15" i="30"/>
  <c r="H15" i="30"/>
  <c r="G15" i="30"/>
  <c r="F15" i="30"/>
  <c r="AO14" i="30"/>
  <c r="AN14" i="30"/>
  <c r="AM14" i="30"/>
  <c r="AL14" i="30"/>
  <c r="AK14" i="30"/>
  <c r="AJ14" i="30"/>
  <c r="AI14" i="30"/>
  <c r="AH14" i="30"/>
  <c r="AG14" i="30"/>
  <c r="AF14" i="30"/>
  <c r="AE14" i="30"/>
  <c r="AD14" i="30"/>
  <c r="AC14" i="30"/>
  <c r="AB14" i="30"/>
  <c r="AA14" i="30"/>
  <c r="Z14" i="30"/>
  <c r="R14" i="30"/>
  <c r="Q14" i="30"/>
  <c r="P14" i="30"/>
  <c r="O14" i="30"/>
  <c r="N14" i="30"/>
  <c r="M14" i="30"/>
  <c r="L14" i="30"/>
  <c r="K14" i="30"/>
  <c r="J14" i="30"/>
  <c r="I14" i="30"/>
  <c r="H14" i="30"/>
  <c r="G14" i="30"/>
  <c r="F14" i="30"/>
  <c r="AO13" i="37"/>
  <c r="AN13" i="37"/>
  <c r="AM13" i="37"/>
  <c r="AL13" i="37"/>
  <c r="AK13" i="37"/>
  <c r="AJ13" i="37"/>
  <c r="AI13" i="37"/>
  <c r="AH13" i="37"/>
  <c r="AG13" i="37"/>
  <c r="AF13" i="37"/>
  <c r="AE13" i="37"/>
  <c r="AD13" i="37"/>
  <c r="AC13" i="37"/>
  <c r="AB13" i="37"/>
  <c r="AA13" i="37"/>
  <c r="Z13" i="37"/>
  <c r="R13" i="37"/>
  <c r="Q13" i="37"/>
  <c r="P13" i="37"/>
  <c r="O13" i="37"/>
  <c r="N13" i="37"/>
  <c r="M13" i="37"/>
  <c r="L13" i="37"/>
  <c r="K13" i="37"/>
  <c r="J13" i="37"/>
  <c r="I13" i="37"/>
  <c r="H13" i="37"/>
  <c r="G13" i="37"/>
  <c r="F13" i="37"/>
  <c r="AO13" i="39"/>
  <c r="AN13" i="39"/>
  <c r="AM13" i="39"/>
  <c r="AL13" i="39"/>
  <c r="AK13" i="39"/>
  <c r="AJ13" i="39"/>
  <c r="AI13" i="39"/>
  <c r="AH13" i="39"/>
  <c r="AG13" i="39"/>
  <c r="AF13" i="39"/>
  <c r="AE13" i="39"/>
  <c r="AD13" i="39"/>
  <c r="AC13" i="39"/>
  <c r="AB13" i="39"/>
  <c r="AA13" i="39"/>
  <c r="Z13" i="39"/>
  <c r="R13" i="39"/>
  <c r="Q13" i="39"/>
  <c r="P13" i="39"/>
  <c r="O13" i="39"/>
  <c r="N13" i="39"/>
  <c r="M13" i="39"/>
  <c r="L13" i="39"/>
  <c r="K13" i="39"/>
  <c r="J13" i="39"/>
  <c r="I13" i="39"/>
  <c r="H13" i="39"/>
  <c r="G13" i="39"/>
  <c r="F13" i="39"/>
  <c r="O32" i="50"/>
  <c r="O10" i="50"/>
  <c r="F11" i="50"/>
  <c r="Q30" i="50" l="1"/>
  <c r="P30" i="50"/>
  <c r="Q17" i="50"/>
  <c r="P17" i="50"/>
  <c r="Q10" i="50"/>
  <c r="P10" i="50"/>
  <c r="Q15" i="50"/>
  <c r="P15" i="50"/>
  <c r="P36" i="50"/>
  <c r="Q36" i="50"/>
  <c r="P8" i="50"/>
  <c r="Q8" i="50"/>
  <c r="P14" i="50"/>
  <c r="Q18" i="50"/>
  <c r="M22" i="48" l="1"/>
  <c r="L22" i="48"/>
  <c r="H22" i="48"/>
  <c r="G22" i="48"/>
  <c r="N21" i="48"/>
  <c r="I21" i="48"/>
  <c r="N20" i="48"/>
  <c r="I20" i="48"/>
  <c r="N19" i="48"/>
  <c r="I19" i="48"/>
  <c r="N18" i="48"/>
  <c r="I18" i="48"/>
  <c r="AO13" i="40" l="1"/>
  <c r="AN13" i="40"/>
  <c r="AM13" i="40"/>
  <c r="AL13" i="40"/>
  <c r="AK13" i="40"/>
  <c r="AJ13" i="40"/>
  <c r="AI13" i="40"/>
  <c r="AH13" i="40"/>
  <c r="AG13" i="40"/>
  <c r="AF13" i="40"/>
  <c r="AE13" i="40"/>
  <c r="AD13" i="40"/>
  <c r="AC13" i="40"/>
  <c r="AB13" i="40"/>
  <c r="AA13" i="40"/>
  <c r="Z13" i="40"/>
  <c r="R13" i="40"/>
  <c r="Q13" i="40"/>
  <c r="P13" i="40"/>
  <c r="O13" i="40"/>
  <c r="N13" i="40"/>
  <c r="M13" i="40"/>
  <c r="L13" i="40"/>
  <c r="K13" i="40"/>
  <c r="J13" i="40"/>
  <c r="I13" i="40"/>
  <c r="H13" i="40"/>
  <c r="G13" i="40"/>
  <c r="F13" i="40"/>
  <c r="AO14" i="39" l="1"/>
  <c r="AN14" i="39"/>
  <c r="AM14" i="39"/>
  <c r="AL14" i="39"/>
  <c r="AK14" i="39"/>
  <c r="AJ14" i="39"/>
  <c r="AI14" i="39"/>
  <c r="AH14" i="39"/>
  <c r="AG14" i="39"/>
  <c r="AF14" i="39"/>
  <c r="AE14" i="39"/>
  <c r="AD14" i="39"/>
  <c r="AC14" i="39"/>
  <c r="AB14" i="39"/>
  <c r="AA14" i="39"/>
  <c r="Z14" i="39"/>
  <c r="R14" i="39"/>
  <c r="Q14" i="39"/>
  <c r="P14" i="39"/>
  <c r="O14" i="39"/>
  <c r="N14" i="39"/>
  <c r="M14" i="39"/>
  <c r="L14" i="39"/>
  <c r="K14" i="39"/>
  <c r="J14" i="39"/>
  <c r="I14" i="39"/>
  <c r="H14" i="39"/>
  <c r="G14" i="39"/>
  <c r="F14" i="39"/>
  <c r="AO12" i="39" l="1"/>
  <c r="AN12" i="39"/>
  <c r="AM12" i="39"/>
  <c r="AL12" i="39"/>
  <c r="AK12" i="39"/>
  <c r="AJ12" i="39"/>
  <c r="AI12" i="39"/>
  <c r="AH12" i="39"/>
  <c r="AG12" i="39"/>
  <c r="AF12" i="39"/>
  <c r="AE12" i="39"/>
  <c r="AD12" i="39"/>
  <c r="AC12" i="39"/>
  <c r="AB12" i="39"/>
  <c r="AA12" i="39"/>
  <c r="Z12" i="39"/>
  <c r="R12" i="39"/>
  <c r="Q12" i="39"/>
  <c r="P12" i="39"/>
  <c r="O12" i="39"/>
  <c r="N12" i="39"/>
  <c r="M12" i="39"/>
  <c r="L12" i="39"/>
  <c r="K12" i="39"/>
  <c r="J12" i="39"/>
  <c r="I12" i="39"/>
  <c r="H12" i="39"/>
  <c r="G12" i="39"/>
  <c r="F12" i="39"/>
  <c r="N13" i="48" l="1"/>
  <c r="N14" i="48"/>
  <c r="I13" i="48"/>
  <c r="I14" i="48"/>
  <c r="N7" i="48"/>
  <c r="N6" i="48"/>
  <c r="I7" i="48"/>
  <c r="I6" i="48"/>
  <c r="M15" i="48"/>
  <c r="L15" i="48"/>
  <c r="H15" i="48"/>
  <c r="G15" i="48"/>
  <c r="N12" i="48"/>
  <c r="I12" i="48"/>
  <c r="N11" i="48"/>
  <c r="I11" i="48"/>
  <c r="O37" i="50"/>
  <c r="O12" i="50"/>
  <c r="O33" i="50"/>
  <c r="Q12" i="50" l="1"/>
  <c r="P12" i="50"/>
  <c r="P37" i="50"/>
  <c r="Q37" i="50"/>
  <c r="O40" i="50"/>
  <c r="O34" i="50" l="1"/>
  <c r="O11" i="50"/>
  <c r="O9" i="50"/>
  <c r="O41" i="50"/>
  <c r="K42" i="50"/>
  <c r="J42" i="50"/>
  <c r="I42" i="50"/>
  <c r="O35" i="50"/>
  <c r="O19" i="50"/>
  <c r="K20" i="50"/>
  <c r="J20" i="50"/>
  <c r="I20" i="50"/>
  <c r="Q35" i="50" l="1"/>
  <c r="P35" i="50"/>
  <c r="Q41" i="50"/>
  <c r="P41" i="50"/>
  <c r="P34" i="50"/>
  <c r="Q34" i="50"/>
  <c r="Q19" i="50"/>
  <c r="P19" i="50"/>
  <c r="F17" i="50"/>
  <c r="F12" i="50"/>
  <c r="F7" i="50"/>
  <c r="F6" i="50"/>
  <c r="F3" i="50"/>
  <c r="F13" i="50"/>
  <c r="F10" i="50"/>
  <c r="M8" i="48"/>
  <c r="N42" i="50"/>
  <c r="M42" i="50"/>
  <c r="L42" i="50"/>
  <c r="O28" i="50"/>
  <c r="O31" i="50"/>
  <c r="O29" i="50"/>
  <c r="O26" i="50"/>
  <c r="N20" i="50"/>
  <c r="M20" i="50"/>
  <c r="L20" i="50"/>
  <c r="O6" i="50"/>
  <c r="O13" i="50"/>
  <c r="F16" i="50"/>
  <c r="O7" i="50"/>
  <c r="O4" i="50"/>
  <c r="B19" i="50"/>
  <c r="P31" i="50" l="1"/>
  <c r="Q31" i="50"/>
  <c r="Q4" i="50"/>
  <c r="P4" i="50"/>
  <c r="P7" i="50"/>
  <c r="Q7" i="50"/>
  <c r="Q13" i="50"/>
  <c r="P13" i="50"/>
  <c r="P28" i="50"/>
  <c r="Q28" i="50"/>
  <c r="Q6" i="50"/>
  <c r="P6" i="50"/>
  <c r="P29" i="50"/>
  <c r="Q29" i="50"/>
  <c r="Q26" i="50"/>
  <c r="P26" i="50"/>
  <c r="N4" i="48"/>
  <c r="I5" i="48"/>
  <c r="G8" i="48"/>
  <c r="H30" i="48" s="1"/>
  <c r="H8" i="48"/>
  <c r="L8" i="48"/>
  <c r="M30" i="48" s="1"/>
  <c r="N5" i="48"/>
  <c r="I4" i="48"/>
  <c r="O42" i="50"/>
  <c r="P42" i="50" s="1"/>
  <c r="O20" i="50"/>
  <c r="P20" i="50" s="1"/>
  <c r="F4" i="50"/>
  <c r="Q20" i="50" l="1"/>
  <c r="Q42" i="50"/>
  <c r="F9" i="50" l="1"/>
  <c r="D7" i="32"/>
  <c r="B7" i="32"/>
  <c r="G5" i="45"/>
  <c r="F5" i="45"/>
  <c r="N5" i="45"/>
  <c r="B4" i="47"/>
  <c r="M5" i="45"/>
  <c r="L5" i="45"/>
  <c r="K5" i="45"/>
  <c r="I5" i="45"/>
  <c r="H5" i="45"/>
  <c r="G2" i="45"/>
  <c r="F2" i="45"/>
  <c r="E2" i="45"/>
  <c r="D2" i="45"/>
  <c r="N2" i="45"/>
  <c r="D5" i="47"/>
  <c r="B5" i="47"/>
  <c r="M2" i="45"/>
  <c r="L2" i="45"/>
  <c r="K2" i="45"/>
  <c r="I2" i="45"/>
  <c r="H2" i="45"/>
  <c r="H3" i="45"/>
  <c r="N4" i="45"/>
  <c r="L4" i="45"/>
  <c r="I4" i="45"/>
  <c r="H4" i="45"/>
  <c r="M4" i="45"/>
  <c r="K4" i="45"/>
  <c r="G4" i="45"/>
  <c r="F4" i="45"/>
  <c r="E4" i="45"/>
  <c r="D4" i="45"/>
  <c r="E5" i="45"/>
  <c r="D5" i="45"/>
  <c r="D3" i="47"/>
  <c r="B3" i="47"/>
  <c r="N18" i="47"/>
  <c r="M18" i="47"/>
  <c r="L18" i="47"/>
  <c r="K18" i="47"/>
  <c r="J18" i="47"/>
  <c r="I18" i="47"/>
  <c r="O17" i="47"/>
  <c r="O16" i="47"/>
  <c r="O15" i="47"/>
  <c r="Q15" i="47" s="1"/>
  <c r="O14" i="47"/>
  <c r="P8" i="47"/>
  <c r="N8" i="47"/>
  <c r="M8" i="47"/>
  <c r="L8" i="47"/>
  <c r="K8" i="47"/>
  <c r="J8" i="47"/>
  <c r="I8" i="47"/>
  <c r="O7" i="47"/>
  <c r="R7" i="47" s="1"/>
  <c r="O6" i="47"/>
  <c r="O5" i="47"/>
  <c r="R5" i="47" s="1"/>
  <c r="O4" i="47"/>
  <c r="Q16" i="47" l="1"/>
  <c r="P16" i="47"/>
  <c r="Q14" i="47"/>
  <c r="P14" i="47"/>
  <c r="R6" i="47"/>
  <c r="Q6" i="47"/>
  <c r="D4" i="47"/>
  <c r="F4" i="47" s="1"/>
  <c r="H6" i="45"/>
  <c r="F5" i="47"/>
  <c r="J4" i="45"/>
  <c r="O5" i="45"/>
  <c r="O4" i="45"/>
  <c r="J2" i="45"/>
  <c r="O2" i="45"/>
  <c r="J5" i="45"/>
  <c r="O18" i="47"/>
  <c r="P18" i="47" s="1"/>
  <c r="O8" i="47"/>
  <c r="R8" i="47" s="1"/>
  <c r="F3" i="47"/>
  <c r="Q7" i="47"/>
  <c r="P15" i="47"/>
  <c r="Q5" i="47"/>
  <c r="F15" i="50" l="1"/>
  <c r="D19" i="50"/>
  <c r="Q18" i="47"/>
  <c r="Q8" i="47"/>
  <c r="D5" i="32" l="1"/>
  <c r="B5" i="32"/>
  <c r="D8" i="32"/>
  <c r="B8" i="32"/>
  <c r="AO15" i="17" l="1"/>
  <c r="AN15" i="17"/>
  <c r="AM15" i="17"/>
  <c r="AL15" i="17"/>
  <c r="AK15" i="17"/>
  <c r="AJ15" i="17"/>
  <c r="AI15" i="17"/>
  <c r="AH15" i="17"/>
  <c r="AG15" i="17"/>
  <c r="AF15" i="17"/>
  <c r="AE15" i="17"/>
  <c r="AD15" i="17"/>
  <c r="AC15" i="17"/>
  <c r="AB15" i="17"/>
  <c r="AA15" i="17"/>
  <c r="Z15" i="17"/>
  <c r="R15" i="17"/>
  <c r="Q15" i="17"/>
  <c r="P15" i="17"/>
  <c r="O15" i="17"/>
  <c r="N15" i="17"/>
  <c r="M15" i="17"/>
  <c r="L15" i="17"/>
  <c r="K15" i="17"/>
  <c r="J15" i="17"/>
  <c r="I15" i="17"/>
  <c r="H15" i="17"/>
  <c r="G15" i="17"/>
  <c r="F15" i="17"/>
  <c r="D6" i="32"/>
  <c r="B6" i="32"/>
  <c r="D4" i="32"/>
  <c r="B4" i="32"/>
  <c r="D3" i="32" l="1"/>
  <c r="B3" i="32"/>
  <c r="G3" i="45" l="1"/>
  <c r="F3" i="45"/>
  <c r="E3" i="45"/>
  <c r="D3" i="45"/>
  <c r="N3" i="45"/>
  <c r="N6" i="45" s="1"/>
  <c r="D6" i="47"/>
  <c r="D7" i="47" s="1"/>
  <c r="B6" i="47"/>
  <c r="M3" i="45"/>
  <c r="M6" i="45" s="1"/>
  <c r="L3" i="45"/>
  <c r="K3" i="45"/>
  <c r="I3" i="45"/>
  <c r="AO14" i="37"/>
  <c r="AN14" i="37"/>
  <c r="AM14" i="37"/>
  <c r="AL14" i="37"/>
  <c r="AK14" i="37"/>
  <c r="AJ14" i="37"/>
  <c r="AI14" i="37"/>
  <c r="AH14" i="37"/>
  <c r="AG14" i="37"/>
  <c r="AF14" i="37"/>
  <c r="AE14" i="37"/>
  <c r="AD14" i="37"/>
  <c r="AC14" i="37"/>
  <c r="AB14" i="37"/>
  <c r="AA14" i="37"/>
  <c r="Z14" i="37"/>
  <c r="R14" i="37"/>
  <c r="Q14" i="37"/>
  <c r="P14" i="37"/>
  <c r="O14" i="37"/>
  <c r="N14" i="37"/>
  <c r="M14" i="37"/>
  <c r="L14" i="37"/>
  <c r="K14" i="37"/>
  <c r="J14" i="37"/>
  <c r="I14" i="37"/>
  <c r="H14" i="37"/>
  <c r="G14" i="37"/>
  <c r="F14" i="37"/>
  <c r="AO12" i="36"/>
  <c r="AN12" i="36"/>
  <c r="AM12" i="36"/>
  <c r="AL12" i="36"/>
  <c r="AK12" i="36"/>
  <c r="AJ12" i="36"/>
  <c r="AI12" i="36"/>
  <c r="AH12" i="36"/>
  <c r="AG12" i="36"/>
  <c r="AF12" i="36"/>
  <c r="AE12" i="36"/>
  <c r="AD12" i="36"/>
  <c r="AC12" i="36"/>
  <c r="AB12" i="36"/>
  <c r="AA12" i="36"/>
  <c r="Z12" i="36"/>
  <c r="R12" i="36"/>
  <c r="Q12" i="36"/>
  <c r="P12" i="36"/>
  <c r="O12" i="36"/>
  <c r="N12" i="36"/>
  <c r="M12" i="36"/>
  <c r="L12" i="36"/>
  <c r="K12" i="36"/>
  <c r="J12" i="36"/>
  <c r="I12" i="36"/>
  <c r="H12" i="36"/>
  <c r="G12" i="36"/>
  <c r="F12" i="36"/>
  <c r="J3" i="45" l="1"/>
  <c r="I6" i="45"/>
  <c r="F6" i="47"/>
  <c r="B7" i="47"/>
  <c r="O3" i="45"/>
  <c r="G6" i="31" l="1"/>
  <c r="L6" i="31"/>
  <c r="K6" i="31"/>
  <c r="O7" i="32"/>
  <c r="O16" i="32"/>
  <c r="O21" i="32"/>
  <c r="O8" i="32"/>
  <c r="O20" i="32"/>
  <c r="O4" i="32"/>
  <c r="G5" i="31"/>
  <c r="F5" i="31"/>
  <c r="E5" i="31"/>
  <c r="D5" i="31"/>
  <c r="O5" i="31"/>
  <c r="F6" i="32"/>
  <c r="N5" i="31"/>
  <c r="I5" i="31"/>
  <c r="H5" i="31"/>
  <c r="G2" i="31"/>
  <c r="F2" i="31"/>
  <c r="E2" i="31"/>
  <c r="D2" i="31"/>
  <c r="O2" i="31"/>
  <c r="N2" i="31"/>
  <c r="L2" i="31"/>
  <c r="K2" i="31"/>
  <c r="I2" i="31"/>
  <c r="H2" i="31"/>
  <c r="G3" i="31"/>
  <c r="F3" i="31"/>
  <c r="E3" i="31"/>
  <c r="D3" i="31"/>
  <c r="O3" i="31"/>
  <c r="N3" i="31"/>
  <c r="L3" i="31"/>
  <c r="K3" i="31"/>
  <c r="I3" i="31"/>
  <c r="H3" i="31"/>
  <c r="G4" i="31"/>
  <c r="F4" i="31"/>
  <c r="D4" i="31"/>
  <c r="O4" i="31"/>
  <c r="F5" i="32"/>
  <c r="N4" i="31"/>
  <c r="L4" i="31"/>
  <c r="K4" i="31"/>
  <c r="I4" i="31"/>
  <c r="H4" i="31"/>
  <c r="G7" i="31"/>
  <c r="F7" i="31"/>
  <c r="E7" i="31"/>
  <c r="D7" i="31"/>
  <c r="O7" i="31"/>
  <c r="F8" i="32"/>
  <c r="N7" i="31"/>
  <c r="L7" i="31"/>
  <c r="K7" i="31"/>
  <c r="I7" i="31"/>
  <c r="H7" i="31"/>
  <c r="O9" i="32"/>
  <c r="L5" i="31"/>
  <c r="K5" i="31"/>
  <c r="F3" i="32"/>
  <c r="O19" i="32"/>
  <c r="O6" i="32"/>
  <c r="O17" i="32"/>
  <c r="P10" i="32"/>
  <c r="O5" i="32"/>
  <c r="N10" i="32"/>
  <c r="M10" i="32"/>
  <c r="L10" i="32"/>
  <c r="K10" i="32"/>
  <c r="J10" i="32"/>
  <c r="I10" i="32"/>
  <c r="J22" i="32"/>
  <c r="O18" i="32"/>
  <c r="I22" i="32"/>
  <c r="N22" i="32"/>
  <c r="M22" i="32"/>
  <c r="L22" i="32"/>
  <c r="K22" i="32"/>
  <c r="E4" i="31"/>
  <c r="F4" i="32"/>
  <c r="B9" i="32"/>
  <c r="Q21" i="32" l="1"/>
  <c r="P21" i="32"/>
  <c r="Q17" i="32"/>
  <c r="P17" i="32"/>
  <c r="Q19" i="32"/>
  <c r="P19" i="32"/>
  <c r="Q6" i="32"/>
  <c r="R6" i="32"/>
  <c r="R7" i="32"/>
  <c r="Q7" i="32"/>
  <c r="R9" i="32"/>
  <c r="Q9" i="32"/>
  <c r="Q8" i="32"/>
  <c r="R8" i="32"/>
  <c r="R5" i="32"/>
  <c r="Q5" i="32"/>
  <c r="Q16" i="32"/>
  <c r="P16" i="32"/>
  <c r="Q20" i="32"/>
  <c r="P20" i="32"/>
  <c r="P18" i="32"/>
  <c r="Q18" i="32"/>
  <c r="D6" i="31"/>
  <c r="E6" i="31"/>
  <c r="F6" i="31"/>
  <c r="H6" i="31"/>
  <c r="H8" i="31" s="1"/>
  <c r="N6" i="31"/>
  <c r="N8" i="31" s="1"/>
  <c r="O6" i="31"/>
  <c r="O8" i="31" s="1"/>
  <c r="I6" i="31"/>
  <c r="I8" i="31" s="1"/>
  <c r="F7" i="32"/>
  <c r="O10" i="32"/>
  <c r="Q10" i="32" s="1"/>
  <c r="O22" i="32"/>
  <c r="Q22" i="32" s="1"/>
  <c r="J3" i="31"/>
  <c r="J5" i="31"/>
  <c r="P5" i="31"/>
  <c r="P4" i="31"/>
  <c r="J4" i="31"/>
  <c r="P3" i="31"/>
  <c r="P7" i="31"/>
  <c r="J7" i="31"/>
  <c r="P2" i="31"/>
  <c r="J2" i="31"/>
  <c r="P22" i="32" l="1"/>
  <c r="R10" i="32"/>
  <c r="P6" i="31"/>
  <c r="J6" i="31"/>
  <c r="D9" i="32"/>
</calcChain>
</file>

<file path=xl/sharedStrings.xml><?xml version="1.0" encoding="utf-8"?>
<sst xmlns="http://schemas.openxmlformats.org/spreadsheetml/2006/main" count="4864" uniqueCount="844">
  <si>
    <t>PL</t>
  </si>
  <si>
    <t>W</t>
  </si>
  <si>
    <t>D</t>
  </si>
  <si>
    <t>L</t>
  </si>
  <si>
    <t>F</t>
  </si>
  <si>
    <t>A</t>
  </si>
  <si>
    <t>Scores</t>
  </si>
  <si>
    <t>Cards</t>
  </si>
  <si>
    <t>Att</t>
  </si>
  <si>
    <t>HT</t>
  </si>
  <si>
    <t>Referee</t>
  </si>
  <si>
    <t>TMO</t>
  </si>
  <si>
    <t>T</t>
  </si>
  <si>
    <t>C</t>
  </si>
  <si>
    <t>P</t>
  </si>
  <si>
    <t>Y</t>
  </si>
  <si>
    <t>R</t>
  </si>
  <si>
    <t>Opponents</t>
  </si>
  <si>
    <t>Cmp</t>
  </si>
  <si>
    <t>Date</t>
  </si>
  <si>
    <t>OVERALL</t>
  </si>
  <si>
    <t>TB</t>
  </si>
  <si>
    <t>LB</t>
  </si>
  <si>
    <t>Bonus</t>
  </si>
  <si>
    <t>Result</t>
  </si>
  <si>
    <t>Conceded</t>
  </si>
  <si>
    <t>AR1</t>
  </si>
  <si>
    <t>AR2</t>
  </si>
  <si>
    <t>© Hillsport Media Ltd</t>
  </si>
  <si>
    <t>Australia</t>
  </si>
  <si>
    <t>England</t>
  </si>
  <si>
    <t>Wales</t>
  </si>
  <si>
    <t>Italy</t>
  </si>
  <si>
    <t>France</t>
  </si>
  <si>
    <t>Scotland</t>
  </si>
  <si>
    <t>Ireland</t>
  </si>
  <si>
    <t>Canada</t>
  </si>
  <si>
    <t>Gd</t>
  </si>
  <si>
    <t>Away</t>
  </si>
  <si>
    <t>Neutral Ground</t>
  </si>
  <si>
    <t>Home</t>
  </si>
  <si>
    <t>6N</t>
  </si>
  <si>
    <t>Pos</t>
  </si>
  <si>
    <t>Chg</t>
  </si>
  <si>
    <t>DIFF</t>
  </si>
  <si>
    <t>PTS</t>
  </si>
  <si>
    <t>→</t>
  </si>
  <si>
    <t>TF</t>
  </si>
  <si>
    <t>TA</t>
  </si>
  <si>
    <t>Yellows</t>
  </si>
  <si>
    <t>Reds</t>
  </si>
  <si>
    <t>Pts</t>
  </si>
  <si>
    <t>TOTALS</t>
  </si>
  <si>
    <t xml:space="preserve"> </t>
  </si>
  <si>
    <t>Teams ordered on unofficial “points” ratio of “2” for a Red, “1” for a Yellow</t>
  </si>
  <si>
    <t>USA</t>
  </si>
  <si>
    <t>HOME</t>
  </si>
  <si>
    <t>AWAY</t>
  </si>
  <si>
    <t>NEUTRAL</t>
  </si>
  <si>
    <t>GSB</t>
  </si>
  <si>
    <t>TB = Try Bonus Points; LB = Losing Bonus Points; GSB = Grand Slam Bonus Points</t>
  </si>
  <si>
    <t>Points Scored</t>
  </si>
  <si>
    <t>Minutes S/handed</t>
  </si>
  <si>
    <t>Opponent</t>
  </si>
  <si>
    <t>Ave per 10 mins</t>
  </si>
  <si>
    <t>Total</t>
  </si>
  <si>
    <t>Also S/H</t>
  </si>
  <si>
    <t>15 v 14</t>
  </si>
  <si>
    <t>15 v 13</t>
  </si>
  <si>
    <t>na</t>
  </si>
  <si>
    <t>ALL TESTS</t>
  </si>
  <si>
    <t>SIX NATIONS</t>
  </si>
  <si>
    <t>N Zealand</t>
  </si>
  <si>
    <t>Tries Scored</t>
  </si>
  <si>
    <t>BPs</t>
  </si>
  <si>
    <t xml:space="preserve">Penalty Tries: </t>
  </si>
  <si>
    <t xml:space="preserve">    HT</t>
  </si>
  <si>
    <t>Tie-breakers:</t>
  </si>
  <si>
    <t>Points Difference</t>
  </si>
  <si>
    <t>If still cannot split, placed equally</t>
  </si>
  <si>
    <t>Penalty Tries:</t>
  </si>
  <si>
    <r>
      <t xml:space="preserve">POWERPLAYS </t>
    </r>
    <r>
      <rPr>
        <b/>
        <sz val="11"/>
        <color rgb="FFFF0000"/>
        <rFont val="Calibri"/>
        <family val="2"/>
        <scheme val="minor"/>
      </rPr>
      <t xml:space="preserve">(periods when teams are playing </t>
    </r>
    <r>
      <rPr>
        <b/>
        <u/>
        <sz val="11"/>
        <color rgb="FFFF0000"/>
        <rFont val="Calibri"/>
        <family val="2"/>
        <scheme val="minor"/>
      </rPr>
      <t>against short-handed opposition only</t>
    </r>
    <r>
      <rPr>
        <b/>
        <sz val="11"/>
        <color rgb="FFFF0000"/>
        <rFont val="Calibri"/>
        <family val="2"/>
        <scheme val="minor"/>
      </rPr>
      <t>)</t>
    </r>
  </si>
  <si>
    <t>15 v 12</t>
  </si>
  <si>
    <t>10+ Points scored in any 10-minute Powerplay period:</t>
  </si>
  <si>
    <t>Edi</t>
  </si>
  <si>
    <t>:</t>
  </si>
  <si>
    <t>UK TIME</t>
  </si>
  <si>
    <t>10+ Points scored with fewer than 15 players:</t>
  </si>
  <si>
    <t>14 pl</t>
  </si>
  <si>
    <t>13 pl</t>
  </si>
  <si>
    <t>12 pl</t>
  </si>
  <si>
    <t>11 pl</t>
  </si>
  <si>
    <t>PACIFIC FOUR</t>
  </si>
  <si>
    <t>OCEANIA CHAMPS</t>
  </si>
  <si>
    <t>Tw</t>
  </si>
  <si>
    <t>S Africa</t>
  </si>
  <si>
    <t>14 v 13</t>
  </si>
  <si>
    <t>10+ Points scored with fewer than 15 players (any 10-minute spell):</t>
  </si>
  <si>
    <t>Samoa</t>
  </si>
  <si>
    <t>Japan</t>
  </si>
  <si>
    <t>n/a</t>
  </si>
  <si>
    <t>0 Powerplays</t>
  </si>
  <si>
    <t>After Round 1</t>
  </si>
  <si>
    <t>NEW ZEALAND IN 2024</t>
  </si>
  <si>
    <t>23 Mr</t>
  </si>
  <si>
    <t>30 Mr</t>
  </si>
  <si>
    <t>13 Ap</t>
  </si>
  <si>
    <t>20 Ap</t>
  </si>
  <si>
    <t>Bel</t>
  </si>
  <si>
    <t>FPRO</t>
  </si>
  <si>
    <t>Ian Tempest (Eng)</t>
  </si>
  <si>
    <t>Quinton Immelman (RSA)</t>
  </si>
  <si>
    <t>Maria Latos (Ger)</t>
  </si>
  <si>
    <t>23 Mar</t>
  </si>
  <si>
    <t>Clara Munarini (Ita)</t>
  </si>
  <si>
    <t>Leo Colgan (Ire)</t>
  </si>
  <si>
    <t>Sara Cox (Eng)</t>
  </si>
  <si>
    <t>Holly Wood (Eng)</t>
  </si>
  <si>
    <t>0 cards</t>
  </si>
  <si>
    <t>Aurelie Groizeleau (Fra)</t>
  </si>
  <si>
    <t>Rd-by-Rd</t>
  </si>
  <si>
    <t>YC</t>
  </si>
  <si>
    <t>RC</t>
  </si>
  <si>
    <t>Round 1</t>
  </si>
  <si>
    <t>Stadio Sergio Lanfranchi, Parma</t>
  </si>
  <si>
    <t>Netherlands</t>
  </si>
  <si>
    <t>Hive Stadium, Edinburgh</t>
  </si>
  <si>
    <t>Dan Jones (Eng)</t>
  </si>
  <si>
    <t>Precious Pazani (Zim)</t>
  </si>
  <si>
    <t>30 Mar</t>
  </si>
  <si>
    <t>16:45</t>
  </si>
  <si>
    <t>Maria Heitor (Por)</t>
  </si>
  <si>
    <t>Amber Stamp-Dunstan (Wal)</t>
  </si>
  <si>
    <t>Spain</t>
  </si>
  <si>
    <t>15:00</t>
  </si>
  <si>
    <t>Round 2</t>
  </si>
  <si>
    <t>Matteo Liperini (Ita)</t>
  </si>
  <si>
    <t>Round 3</t>
  </si>
  <si>
    <t>13 Apr</t>
  </si>
  <si>
    <t>Andrew McMenemy (Sco)</t>
  </si>
  <si>
    <t>Virgin Media Park, Cork</t>
  </si>
  <si>
    <t>Rachel Horton (Aus)</t>
  </si>
  <si>
    <t>Round 4</t>
  </si>
  <si>
    <t>20 Apr</t>
  </si>
  <si>
    <t>Maggie Cogger-Orr (Nzl)</t>
  </si>
  <si>
    <t>Natarsha Ganley (Nzl)</t>
  </si>
  <si>
    <t>Aimee Barrett-Theron (RSA)</t>
  </si>
  <si>
    <t>at end of tournament</t>
  </si>
  <si>
    <t>Round 5</t>
  </si>
  <si>
    <t>12:15</t>
  </si>
  <si>
    <t>Principality Stadium, Cardiff</t>
  </si>
  <si>
    <t>14:30</t>
  </si>
  <si>
    <t>Kingspan Stadium, Belfast</t>
  </si>
  <si>
    <t>PAC</t>
  </si>
  <si>
    <t>Amelia Luciano (USA)</t>
  </si>
  <si>
    <t>Shanda Assmus (Can)</t>
  </si>
  <si>
    <t>Madagascar</t>
  </si>
  <si>
    <t>New Zealand</t>
  </si>
  <si>
    <t>Oli Kellett (Aus)</t>
  </si>
  <si>
    <t>Ella Goldsmith (Aus)</t>
  </si>
  <si>
    <t>Aaron Paterson (Nzl)</t>
  </si>
  <si>
    <t>INT</t>
  </si>
  <si>
    <t>17 May</t>
  </si>
  <si>
    <t>Jess Ling (Aus)</t>
  </si>
  <si>
    <t>25 May</t>
  </si>
  <si>
    <t>Sva</t>
  </si>
  <si>
    <t>Fiji</t>
  </si>
  <si>
    <t>Kazakhstan</t>
  </si>
  <si>
    <t>ASIA CHAMPS</t>
  </si>
  <si>
    <t>AC</t>
  </si>
  <si>
    <t>31-0</t>
  </si>
  <si>
    <t>Penalty Tries: v Aus  (14 Jl)</t>
  </si>
  <si>
    <t>6 Sp</t>
  </si>
  <si>
    <t>5-7</t>
  </si>
  <si>
    <t>7 Sp</t>
  </si>
  <si>
    <t>Sunny Lee (Hkg)</t>
  </si>
  <si>
    <t>Allianz Stadium, London</t>
  </si>
  <si>
    <t>5-17</t>
  </si>
  <si>
    <t>Alexandra Ferre (Fra)</t>
  </si>
  <si>
    <t>Zoe Naude (RSA)</t>
  </si>
  <si>
    <t>Npt</t>
  </si>
  <si>
    <t>Rodney Parade, Newport</t>
  </si>
  <si>
    <t>Emma Gallagher (Can)</t>
  </si>
  <si>
    <t>Totals</t>
  </si>
  <si>
    <t>Kristine Lovatt (Can)</t>
  </si>
  <si>
    <t>14-7</t>
  </si>
  <si>
    <t>12-21</t>
  </si>
  <si>
    <t>21-12</t>
  </si>
  <si>
    <t>Hong Kong</t>
  </si>
  <si>
    <t>7-21</t>
  </si>
  <si>
    <t>13:00</t>
  </si>
  <si>
    <t>22 Mar</t>
  </si>
  <si>
    <t>LNER Community Stadium, York</t>
  </si>
  <si>
    <t>29 Mar</t>
  </si>
  <si>
    <t>Stade Marcel Deflandre, La Rochelle</t>
  </si>
  <si>
    <t>12 Apr</t>
  </si>
  <si>
    <t>12:45</t>
  </si>
  <si>
    <t>19 Apr</t>
  </si>
  <si>
    <t>Mattiioli Woods Welford Road, Leicester</t>
  </si>
  <si>
    <t>26 Apr</t>
  </si>
  <si>
    <t>ENGLAND IN 2025</t>
  </si>
  <si>
    <t>FRANCE IN 2025</t>
  </si>
  <si>
    <t>IRELAND IN 2025</t>
  </si>
  <si>
    <t>ITALY IN 2025</t>
  </si>
  <si>
    <t>SCOTLAND IN 2025</t>
  </si>
  <si>
    <t>WALES IN 2025</t>
  </si>
  <si>
    <t>Yrk</t>
  </si>
  <si>
    <t>22 Mr</t>
  </si>
  <si>
    <t>29 Mr</t>
  </si>
  <si>
    <t>Lar</t>
  </si>
  <si>
    <t>Edi = Hive Stadium, Edinburgh; Lar = Stade Marcel Deflandre, La Rochelle</t>
  </si>
  <si>
    <t>Pm</t>
  </si>
  <si>
    <t>12 Ap</t>
  </si>
  <si>
    <t>Brv</t>
  </si>
  <si>
    <t>Bel - Kingspan Stadium, Belfast;; Lar = Stade Marcel Deflandre, La Rochelle</t>
  </si>
  <si>
    <t>Stade Amedee-Domenech, Brive</t>
  </si>
  <si>
    <t>Car</t>
  </si>
  <si>
    <t>Yrk = LNER Community Stadium, York; Car = Principality Stadium, Cardiff</t>
  </si>
  <si>
    <t>Crk</t>
  </si>
  <si>
    <t>19 Ap</t>
  </si>
  <si>
    <t>Brv = Stade Amedee-Domenech, Brive; Pm = Stadio Sergio Lanfranchi, Parma</t>
  </si>
  <si>
    <t>Lei</t>
  </si>
  <si>
    <t>26 Ap</t>
  </si>
  <si>
    <t xml:space="preserve">Edi = Hive Stadium, Edinburgh; Car = Principality Stadium, Cardiff; </t>
  </si>
  <si>
    <t>Brv = Stade Amedee-Domenech, Brive; Npt = Rodney Parade, Newport</t>
  </si>
  <si>
    <t>Npt = Rodney Parade, Newport; Edi = Hive Stadium, Edinburgh</t>
  </si>
  <si>
    <t>25 Jl</t>
  </si>
  <si>
    <t>Bb</t>
  </si>
  <si>
    <t>Pm = Stadio Sergio Lanfranchi, Parma; Bb = Ballymore, Brisbane</t>
  </si>
  <si>
    <t>1 Ag</t>
  </si>
  <si>
    <t>Sy</t>
  </si>
  <si>
    <t>WC</t>
  </si>
  <si>
    <t>22 Ag</t>
  </si>
  <si>
    <t>Sld</t>
  </si>
  <si>
    <t>30 Ag</t>
  </si>
  <si>
    <t>Nor</t>
  </si>
  <si>
    <t>Nor = Franklin's Gardens, Northampton</t>
  </si>
  <si>
    <t>WORLD CUP</t>
  </si>
  <si>
    <t>Btn</t>
  </si>
  <si>
    <t>Nor = Franklin's Gardens, Northampton; Btn = BHA Stadium, Brighton</t>
  </si>
  <si>
    <t>23 Ag</t>
  </si>
  <si>
    <t>Exe</t>
  </si>
  <si>
    <t>31 Ag</t>
  </si>
  <si>
    <t>Brazil</t>
  </si>
  <si>
    <t>6N = Six Nations; WC = World Cup</t>
  </si>
  <si>
    <t>24 Ag</t>
  </si>
  <si>
    <t>Sal</t>
  </si>
  <si>
    <t>Hollie Davidson (Sco)</t>
  </si>
  <si>
    <t>17-5</t>
  </si>
  <si>
    <t>Vernier</t>
  </si>
  <si>
    <t>0 Cards</t>
  </si>
  <si>
    <r>
      <rPr>
        <b/>
        <sz val="11"/>
        <color rgb="FFFF0000"/>
        <rFont val="Calibri"/>
        <family val="2"/>
        <scheme val="minor"/>
      </rPr>
      <t xml:space="preserve">10 </t>
    </r>
    <r>
      <rPr>
        <sz val="11"/>
        <rFont val="Calibri"/>
        <family val="2"/>
        <scheme val="minor"/>
      </rPr>
      <t>FRA v Ire (Mr 22)</t>
    </r>
  </si>
  <si>
    <t>Kat Roche (USA)</t>
  </si>
  <si>
    <t>10-7</t>
  </si>
  <si>
    <t>7-10</t>
  </si>
  <si>
    <t>Gallagher</t>
  </si>
  <si>
    <t>Evans G</t>
  </si>
  <si>
    <t>Penalty Tries: v Ita (23 Mr)</t>
  </si>
  <si>
    <t>33-5</t>
  </si>
  <si>
    <t>5-33</t>
  </si>
  <si>
    <t>Germany</t>
  </si>
  <si>
    <t>Belgium</t>
  </si>
  <si>
    <t>Fritz-Grunebaum-Sportpark, Heidelberg</t>
  </si>
  <si>
    <t>Test</t>
  </si>
  <si>
    <t>Portugal</t>
  </si>
  <si>
    <t>Complexo Desportivo, Caldas da Rainha</t>
  </si>
  <si>
    <t>Estadio Nelson Mandela, Alicante</t>
  </si>
  <si>
    <t>Rugby Europe Championship</t>
  </si>
  <si>
    <t>Rugby Europe Trophy</t>
  </si>
  <si>
    <t>Six Nations R1</t>
  </si>
  <si>
    <t>Estadio Municipal do Cartaxo, Cartaxo</t>
  </si>
  <si>
    <t>13-7</t>
  </si>
  <si>
    <t>Lauren Jenner (Ita)</t>
  </si>
  <si>
    <t>Six Nations R2</t>
  </si>
  <si>
    <t>26-7</t>
  </si>
  <si>
    <t>7-26</t>
  </si>
  <si>
    <t>5-28</t>
  </si>
  <si>
    <t>28-5</t>
  </si>
  <si>
    <t>Fedrighi, Gurioli</t>
  </si>
  <si>
    <t xml:space="preserve"> ↑2</t>
  </si>
  <si>
    <t xml:space="preserve"> ↓1</t>
  </si>
  <si>
    <t>After Round 2</t>
  </si>
  <si>
    <t>Finland</t>
  </si>
  <si>
    <t>Stade du Pachy, Waterloo</t>
  </si>
  <si>
    <t>Sweden</t>
  </si>
  <si>
    <t>National Rugby Centre Stadium, Amsterdam</t>
  </si>
  <si>
    <t>Estadio El Vergeret, Tavernes de la Valldigna</t>
  </si>
  <si>
    <t>Penalty Tries:  v Wal (12 Ap)</t>
  </si>
  <si>
    <t>Six Nations R3</t>
  </si>
  <si>
    <t>7-5</t>
  </si>
  <si>
    <r>
      <rPr>
        <b/>
        <sz val="11"/>
        <color rgb="FFFF0000"/>
        <rFont val="Calibri"/>
        <family val="2"/>
        <scheme val="minor"/>
      </rPr>
      <t>14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SCO v Wal (Mr 22)</t>
    </r>
    <r>
      <rPr>
        <sz val="11"/>
        <color rgb="FFFF0000"/>
        <rFont val="Calibri"/>
        <family val="2"/>
        <scheme val="minor"/>
      </rPr>
      <t xml:space="preserve">, </t>
    </r>
    <r>
      <rPr>
        <sz val="11"/>
        <rFont val="Calibri"/>
        <family val="2"/>
        <scheme val="minor"/>
      </rPr>
      <t>ENG v Ire (Ap 12)</t>
    </r>
  </si>
  <si>
    <r>
      <rPr>
        <b/>
        <sz val="11"/>
        <color rgb="FFFF0000"/>
        <rFont val="Calibri"/>
        <family val="2"/>
        <scheme val="minor"/>
      </rPr>
      <t>10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IRE v Ita (Mr 29)</t>
    </r>
    <r>
      <rPr>
        <sz val="11"/>
        <color rgb="FFFF0000"/>
        <rFont val="Calibri"/>
        <family val="2"/>
        <scheme val="minor"/>
      </rPr>
      <t xml:space="preserve">, </t>
    </r>
    <r>
      <rPr>
        <sz val="11"/>
        <rFont val="Calibri"/>
        <family val="2"/>
        <scheme val="minor"/>
      </rPr>
      <t>ITA v Sco (Ap 13)</t>
    </r>
  </si>
  <si>
    <t>After Round 3</t>
  </si>
  <si>
    <t>Trelleborg Rugby Stadium, Trelleborg</t>
  </si>
  <si>
    <t>42-0</t>
  </si>
  <si>
    <t>0-42</t>
  </si>
  <si>
    <t>Six Nations R4</t>
  </si>
  <si>
    <t>Mattioli Woods Welford Road, Leicester</t>
  </si>
  <si>
    <t>21-7</t>
  </si>
  <si>
    <t>Djougang, O'Brien, O'Dowd</t>
  </si>
  <si>
    <t>27 Apr</t>
  </si>
  <si>
    <t>27 Ap</t>
  </si>
  <si>
    <t>SOUTH AFRICA IN 2025</t>
  </si>
  <si>
    <t>Act</t>
  </si>
  <si>
    <t>31-5</t>
  </si>
  <si>
    <t>Alexandre Ferre (Fra)</t>
  </si>
  <si>
    <t>Doriane Constanty (Fra)</t>
  </si>
  <si>
    <t>South Africa</t>
  </si>
  <si>
    <t>Hotel Bonalba Alicante, Alicante</t>
  </si>
  <si>
    <t>SPAIN IN 2025</t>
  </si>
  <si>
    <t>5 Ap</t>
  </si>
  <si>
    <t>REC</t>
  </si>
  <si>
    <t>RUGBY EUROPE</t>
  </si>
  <si>
    <t>Ace</t>
  </si>
  <si>
    <t>5-31</t>
  </si>
  <si>
    <t>12-7</t>
  </si>
  <si>
    <t>7-12</t>
  </si>
  <si>
    <t>Lloyd, Nelson, Rollie, Thomson</t>
  </si>
  <si>
    <t>At end of tournament</t>
  </si>
  <si>
    <t>Six Nations R5</t>
  </si>
  <si>
    <t>31-21</t>
  </si>
  <si>
    <t>21-31</t>
  </si>
  <si>
    <t>Fall, Khalfaoui</t>
  </si>
  <si>
    <t>10-12</t>
  </si>
  <si>
    <t>12-10</t>
  </si>
  <si>
    <t>Davies M, Evans G, John</t>
  </si>
  <si>
    <r>
      <rPr>
        <b/>
        <sz val="11"/>
        <color rgb="FFFF0000"/>
        <rFont val="Calibri"/>
        <family val="2"/>
        <scheme val="minor"/>
      </rPr>
      <t>12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ITA v Wal (Ap 27)</t>
    </r>
  </si>
  <si>
    <t>After Round 4</t>
  </si>
  <si>
    <t>↑2</t>
  </si>
  <si>
    <t>↓1</t>
  </si>
  <si>
    <t>USA IN 2025</t>
  </si>
  <si>
    <t>La</t>
  </si>
  <si>
    <t>21-19</t>
  </si>
  <si>
    <t>JAPAN IN 2025</t>
  </si>
  <si>
    <t>19-21</t>
  </si>
  <si>
    <t>Wallis Annenberg Stadium, Los Angeles</t>
  </si>
  <si>
    <t>FIJI IN 2025</t>
  </si>
  <si>
    <t>3 My</t>
  </si>
  <si>
    <t>7-31</t>
  </si>
  <si>
    <t>Warwick Lahmert (Nzl)</t>
  </si>
  <si>
    <t>Ben Woolerton (Nzl)</t>
  </si>
  <si>
    <t>31-7</t>
  </si>
  <si>
    <t>AUSTRALIA IN 2025</t>
  </si>
  <si>
    <t>HFC Bank Stadium, Suva</t>
  </si>
  <si>
    <t>VB</t>
  </si>
  <si>
    <t>Kns</t>
  </si>
  <si>
    <t>7-14</t>
  </si>
  <si>
    <t>Austin Reed (USA)</t>
  </si>
  <si>
    <t>CANADA IN 2025</t>
  </si>
  <si>
    <t>La = Wallis Annenberg Stadium, Los Angeles; Kns = CPKC Stadium, Kansas City</t>
  </si>
  <si>
    <t>Jacoby</t>
  </si>
  <si>
    <t>O'Donnell</t>
  </si>
  <si>
    <r>
      <rPr>
        <b/>
        <sz val="11"/>
        <color rgb="FFEE0000"/>
        <rFont val="Calibri"/>
        <family val="2"/>
        <scheme val="minor"/>
      </rPr>
      <t>12</t>
    </r>
    <r>
      <rPr>
        <sz val="11"/>
        <color theme="1"/>
        <rFont val="Calibri"/>
        <family val="2"/>
        <scheme val="minor"/>
      </rPr>
      <t xml:space="preserve"> CAN v USA (3 My)</t>
    </r>
  </si>
  <si>
    <t>CPKC Stadium, Kansas City</t>
  </si>
  <si>
    <t>3 May</t>
  </si>
  <si>
    <t>Norway</t>
  </si>
  <si>
    <t>Latvia</t>
  </si>
  <si>
    <t>Rugby Europe Conference</t>
  </si>
  <si>
    <t>Voldslokka Idrettspark, Oslo</t>
  </si>
  <si>
    <t>10 My</t>
  </si>
  <si>
    <t>Nw</t>
  </si>
  <si>
    <t>Sva = HFC Bank Stadium, Suva; Nw = McDonald Jones Stadium, Newcastle, NSW</t>
  </si>
  <si>
    <t>0-19</t>
  </si>
  <si>
    <t>Clara Munarini (ita)</t>
  </si>
  <si>
    <t>Dru Tonks (Aus)</t>
  </si>
  <si>
    <t>19-0</t>
  </si>
  <si>
    <t>Pacific Four R1</t>
  </si>
  <si>
    <t>McDonald Jones Stadium, Newcastle, NSW</t>
  </si>
  <si>
    <t>Japan Base, Fukuoka</t>
  </si>
  <si>
    <t>Asia Championship</t>
  </si>
  <si>
    <t>15 My</t>
  </si>
  <si>
    <t>Fuk</t>
  </si>
  <si>
    <t>La = Wallis Annenberg Stadium, Los Angeles; Fuk = Japan Base, Fukuoka</t>
  </si>
  <si>
    <t>Craig Chan (Hkg)</t>
  </si>
  <si>
    <t>Ishanka Abeykoon (Sla)</t>
  </si>
  <si>
    <t>Just Wang (Sin)</t>
  </si>
  <si>
    <t>17 My</t>
  </si>
  <si>
    <t>Cch</t>
  </si>
  <si>
    <t>12-12</t>
  </si>
  <si>
    <t>Nw = McDonald Jones Stadium, Newcastle, NSW; Cch = Apollo Projects Stadium, Christchurch</t>
  </si>
  <si>
    <t>Kns = CPKC Stadium, Kansas City; Cch = Apollo Projects Stadium, Christchurch</t>
  </si>
  <si>
    <t>Oli Kellet (Aus)</t>
  </si>
  <si>
    <t>Estelle Whaiapu (Nzl)</t>
  </si>
  <si>
    <t>10 May</t>
  </si>
  <si>
    <t>Apollo Projects Stadium, Christchurch</t>
  </si>
  <si>
    <t>Pacific Four R2</t>
  </si>
  <si>
    <t>Cba</t>
  </si>
  <si>
    <t>19-14</t>
  </si>
  <si>
    <t>14-19</t>
  </si>
  <si>
    <t>Kelter</t>
  </si>
  <si>
    <t>GIO Stadium, Canberra</t>
  </si>
  <si>
    <t>Jamaica</t>
  </si>
  <si>
    <t>Mexico</t>
  </si>
  <si>
    <t>Bramwell Sports Complex, Ewarton</t>
  </si>
  <si>
    <t>Pacific Four R3</t>
  </si>
  <si>
    <t>Trinidad &amp; Tobago</t>
  </si>
  <si>
    <t>Hong Kong China</t>
  </si>
  <si>
    <t>23 My</t>
  </si>
  <si>
    <t>0-26</t>
  </si>
  <si>
    <t>Chloe Sampson (Nzl)</t>
  </si>
  <si>
    <t>26-0</t>
  </si>
  <si>
    <t>23 May</t>
  </si>
  <si>
    <t>Suncorp Stadium, Brisbane</t>
  </si>
  <si>
    <t>24 My</t>
  </si>
  <si>
    <t>34-14</t>
  </si>
  <si>
    <t>Akl</t>
  </si>
  <si>
    <t>Cba = GIO Stadium, Canberra; Akl = North Harbour Stadium, Auckland</t>
  </si>
  <si>
    <t>14-34</t>
  </si>
  <si>
    <t>North Harbour Stadium, Auckland</t>
  </si>
  <si>
    <t>25 My</t>
  </si>
  <si>
    <t>29-0</t>
  </si>
  <si>
    <t>Christabelle Lim (Sin)</t>
  </si>
  <si>
    <t>Tony Duminy (UAE)</t>
  </si>
  <si>
    <t>Qu Shanggang (Chn)</t>
  </si>
  <si>
    <t>unknown</t>
  </si>
  <si>
    <t>Tonga</t>
  </si>
  <si>
    <t>Oceania Championship</t>
  </si>
  <si>
    <t>Lawaqa Park, Sigatoka</t>
  </si>
  <si>
    <t>2025 WOMEN'S RUGBY WORLD CUP</t>
  </si>
  <si>
    <t>POOL A</t>
  </si>
  <si>
    <t>POOL B</t>
  </si>
  <si>
    <t>POOL C</t>
  </si>
  <si>
    <t>POOL D</t>
  </si>
  <si>
    <t>QUARTER-FINALS</t>
  </si>
  <si>
    <t>SEMI-FINALS</t>
  </si>
  <si>
    <t>BRONZE FINAL</t>
  </si>
  <si>
    <t>FINAL</t>
  </si>
  <si>
    <t>6 Jn</t>
  </si>
  <si>
    <t>OC</t>
  </si>
  <si>
    <t>Sig</t>
  </si>
  <si>
    <t>30-0</t>
  </si>
  <si>
    <t>Hibiki Ikaeda (Jpn)</t>
  </si>
  <si>
    <t>Hani Samaeli (Fij)</t>
  </si>
  <si>
    <t>Vika Erenavula (Fij)</t>
  </si>
  <si>
    <t>Uganda</t>
  </si>
  <si>
    <t>Stade Makis, Antananarivo</t>
  </si>
  <si>
    <t>7 Jn</t>
  </si>
  <si>
    <t>Bineta Sene (Sen)</t>
  </si>
  <si>
    <t>Stephane Rakotoniraini (Mdg) </t>
  </si>
  <si>
    <t>Jeannie Volasoa Rasamison (Mdg)</t>
  </si>
  <si>
    <t>Act = Hotel Bonalba Alicante, Alicante; Ant = Stade Makis, Antananarivo</t>
  </si>
  <si>
    <t>Ant</t>
  </si>
  <si>
    <t>Kenya</t>
  </si>
  <si>
    <t>BRAZIL IN 2025</t>
  </si>
  <si>
    <t>16 Mr</t>
  </si>
  <si>
    <t>14 Jn</t>
  </si>
  <si>
    <t>Colombia</t>
  </si>
  <si>
    <t>Sp</t>
  </si>
  <si>
    <t>39-0</t>
  </si>
  <si>
    <t>Federico Longobardi (Arg)</t>
  </si>
  <si>
    <t>Sergio Alvarenga (Pgy)</t>
  </si>
  <si>
    <t>Lucas Saccomanno (Bra)</t>
  </si>
  <si>
    <t>Win v Colombia was Brazil's record victory in Test rugby</t>
  </si>
  <si>
    <t>SAMOA IN 2025</t>
  </si>
  <si>
    <t>10 Jn</t>
  </si>
  <si>
    <t>33-7</t>
  </si>
  <si>
    <t>Meresiana Savenaca (Fij)</t>
  </si>
  <si>
    <t>Hani Samaeli (Fij)</t>
  </si>
  <si>
    <t>Katarina Tawa (Fij)</t>
  </si>
  <si>
    <t>Penalty Tries:  v Tga (10 Jn)</t>
  </si>
  <si>
    <t>Estadio Nicolau Alayon, Sao Paulo</t>
  </si>
  <si>
    <t>Vasiti Vasuimua (Fij)</t>
  </si>
  <si>
    <r>
      <t xml:space="preserve">Lawaqa Park, Sigatoka, </t>
    </r>
    <r>
      <rPr>
        <b/>
        <sz val="11"/>
        <color theme="1"/>
        <rFont val="Calibri"/>
        <family val="2"/>
        <scheme val="minor"/>
      </rPr>
      <t>Fiji</t>
    </r>
  </si>
  <si>
    <t>Africa Cup R1</t>
  </si>
  <si>
    <t>11 Jn</t>
  </si>
  <si>
    <t>12-0</t>
  </si>
  <si>
    <t>Julie Randriarimanana (Mdg)</t>
  </si>
  <si>
    <t>AFRICA CUP</t>
  </si>
  <si>
    <t>Africa Cup R2</t>
  </si>
  <si>
    <t>Africa Cup R3</t>
  </si>
  <si>
    <t>15 Jn</t>
  </si>
  <si>
    <t>35-0</t>
  </si>
  <si>
    <t>Ronald Wutimber (Ken)</t>
  </si>
  <si>
    <r>
      <t xml:space="preserve">Stade Makis, Antananarivo, </t>
    </r>
    <r>
      <rPr>
        <b/>
        <sz val="11"/>
        <color theme="1"/>
        <rFont val="Calibri"/>
        <family val="2"/>
        <scheme val="minor"/>
      </rPr>
      <t>Madagascar</t>
    </r>
  </si>
  <si>
    <r>
      <t xml:space="preserve">Japan Base, Fukuoka, </t>
    </r>
    <r>
      <rPr>
        <b/>
        <sz val="11"/>
        <color theme="1"/>
        <rFont val="Calibri"/>
        <family val="2"/>
        <scheme val="minor"/>
      </rPr>
      <t>Japan</t>
    </r>
  </si>
  <si>
    <t>Larry Gomes Stadium, Malabar</t>
  </si>
  <si>
    <t>5 Jl</t>
  </si>
  <si>
    <t>Ptr</t>
  </si>
  <si>
    <t>Bb = Suncorp Stadium, Brisbane; Ptr = Loftus Versfeld, Pretoria</t>
  </si>
  <si>
    <t>3-26</t>
  </si>
  <si>
    <t>Egon Seconds (RSA)</t>
  </si>
  <si>
    <t>26-3</t>
  </si>
  <si>
    <t>Loftus Versfeld, Pretoria</t>
  </si>
  <si>
    <t>12 Jl</t>
  </si>
  <si>
    <t>OR</t>
  </si>
  <si>
    <t>Wl</t>
  </si>
  <si>
    <t>Akl = North Harbour Stadium, Auckland; Wl = Sky Stadium, Wellington</t>
  </si>
  <si>
    <t>Cba = GIO Stadium, Canberra; Bb = Suncorp Stadium, Brisbane; Wl = Sky Stadium, Wellington</t>
  </si>
  <si>
    <t>O'Reilly Cup</t>
  </si>
  <si>
    <t>Sky Stadium, Wellington</t>
  </si>
  <si>
    <t>Gqe</t>
  </si>
  <si>
    <t>Ptr = Loftus Versfeld, Pretoria; Gqe = Nelson Mandela Bay Stadium, Gqeberha</t>
  </si>
  <si>
    <t>0-14</t>
  </si>
  <si>
    <t>Christie du Preez (RSA)</t>
  </si>
  <si>
    <t>14-0</t>
  </si>
  <si>
    <t>1st Test</t>
  </si>
  <si>
    <t>2nd Test</t>
  </si>
  <si>
    <t>Nelson Mandela Bay Stadium, Gqeberha</t>
  </si>
  <si>
    <t>Jac</t>
  </si>
  <si>
    <t>Sp = Estadio Nicolau Alayon, Sao Paulo; Jac = Estadio du Cambusano, Jacarei</t>
  </si>
  <si>
    <t>Estadio du Cambusano, Jacarei</t>
  </si>
  <si>
    <t>0-21</t>
  </si>
  <si>
    <t>unknown (Bra)</t>
  </si>
  <si>
    <t>Played</t>
  </si>
  <si>
    <t>Won</t>
  </si>
  <si>
    <t>Drawn</t>
  </si>
  <si>
    <t>Lost</t>
  </si>
  <si>
    <t>Pts Scored</t>
  </si>
  <si>
    <t>WORLD CUP (Including Plate, Bowl &amp; Shield matches)</t>
  </si>
  <si>
    <t>19 Jl</t>
  </si>
  <si>
    <t>Kit</t>
  </si>
  <si>
    <t>13-5</t>
  </si>
  <si>
    <t>Hibiki Ikeda (Jpn)</t>
  </si>
  <si>
    <t>5-13</t>
  </si>
  <si>
    <t>Mikuni World Stadium, Kitakyushu</t>
  </si>
  <si>
    <t>5-0</t>
  </si>
  <si>
    <t>Marcelo Pilara (Arg)</t>
  </si>
  <si>
    <t>Ws</t>
  </si>
  <si>
    <t>26-14</t>
  </si>
  <si>
    <t>14-26</t>
  </si>
  <si>
    <t>Sva = HFC Bank Stadium, Suva; Sig = Lawaqa Park, Sigatoka; Ws = Audi Field, Washington D.C.</t>
  </si>
  <si>
    <t>Audi Field, Washington D.C.</t>
  </si>
  <si>
    <t>Vda</t>
  </si>
  <si>
    <t>20-5</t>
  </si>
  <si>
    <t>5-20</t>
  </si>
  <si>
    <t>Stadio Luigi Zaffanella, Viadana</t>
  </si>
  <si>
    <t>26 Jl</t>
  </si>
  <si>
    <t>Bbb</t>
  </si>
  <si>
    <t>12-14</t>
  </si>
  <si>
    <t>14-12</t>
  </si>
  <si>
    <t>Ballymore, Brisbane</t>
  </si>
  <si>
    <t>Tok</t>
  </si>
  <si>
    <t>Kit = Mikuni World Stadium, Kitakyushu; Tok = Prince Chichibu Memorial Stadium, Tokyo</t>
  </si>
  <si>
    <t>10-0</t>
  </si>
  <si>
    <t>0-10</t>
  </si>
  <si>
    <t>Prince Chichibu Memorial Stadium, Tokyo</t>
  </si>
  <si>
    <t>21-5</t>
  </si>
  <si>
    <t>5-21</t>
  </si>
  <si>
    <t>North Sydney Oval, Sydney</t>
  </si>
  <si>
    <t>Bbb = Ballymore, Brisbane; Sy = North Sydney Oval, Sydney; Sal = Salford Community Stadium</t>
  </si>
  <si>
    <t>14-10</t>
  </si>
  <si>
    <t>Ott</t>
  </si>
  <si>
    <t>Gqe = Nelson Mandela Bay Stadium, Gqeberha; Ott = TD Place, Ottawa</t>
  </si>
  <si>
    <t>Chris Assmus (Can)</t>
  </si>
  <si>
    <t>10-14</t>
  </si>
  <si>
    <t>TD Place, Ottawa</t>
  </si>
  <si>
    <t>2 Ag</t>
  </si>
  <si>
    <t>Crk = Virgin Media Park, Cork; Sal = Salford Community Stadium; Exe = Sandy Park, Exeter</t>
  </si>
  <si>
    <t>Lei = Mattioli Woods Welford Road, Leicester; Vda = Stadio Luigi Zaffanella, Viadana</t>
  </si>
  <si>
    <t>43-0</t>
  </si>
  <si>
    <t>Berenice Loubet (Fra)</t>
  </si>
  <si>
    <t>0-43</t>
  </si>
  <si>
    <t>Crk = Virgin Media Park, Cork; Lei = Mattioli Woods Welford Road, Leicester</t>
  </si>
  <si>
    <t>Tok = Prince Chichibu Memorial Stadium, Tokyo; Lei = Mattioli Woods Welford Road, Leicester</t>
  </si>
  <si>
    <t>Cal</t>
  </si>
  <si>
    <t>5-5</t>
  </si>
  <si>
    <t>Ali</t>
  </si>
  <si>
    <t>22-12</t>
  </si>
  <si>
    <t>12-22</t>
  </si>
  <si>
    <t>Cal = Complexo Desportivo, Caldas da Rainha; Ali = Estadio Nelson Mandela, Alicante</t>
  </si>
  <si>
    <t>Nor = Franklin's Gardens, Northampton; Exe = Sandy Park, Exeter</t>
  </si>
  <si>
    <t>INT = International; WC = World Cup</t>
  </si>
  <si>
    <t>9 Ag</t>
  </si>
  <si>
    <t>7-33</t>
  </si>
  <si>
    <t>Bel - Affidea Stadium, Belfast;; Pm = Stadio Sergio Lanfranchi, Parma; Crk = Virgin Media Park, Cork</t>
  </si>
  <si>
    <t>Affidea Stadium, Belfast</t>
  </si>
  <si>
    <t>Sy = North Sydney Oval, Sydney; Sal = Salford Community Stadium; Exe = Sandy Park, Exeter</t>
  </si>
  <si>
    <t>Bel - Affidea Stadium, Belfast; Yrk = York Community Stadium; Sal = Salford Community Stadium</t>
  </si>
  <si>
    <t>Exe = Sandy Park, Exeter</t>
  </si>
  <si>
    <t>Yrk = York Community Stadium</t>
  </si>
  <si>
    <t>Yrk = York Community Stadium; Sal = Salford Community Stadium; Exe = Sandy Park, Exeter</t>
  </si>
  <si>
    <t>Yrk = York Community Stadium; Exe = Sandy Park, Exeter; Btn = BHA Stadium, Brighton</t>
  </si>
  <si>
    <t>Sig = Lawaqa Park, Sigatoka; Sal = Salford Community Stadium</t>
  </si>
  <si>
    <t>Nor = Franklin's Gardens, Northampton; Yrk = York Community Stadium</t>
  </si>
  <si>
    <t>Yrk = York Community Stadium; Pm = Stadio Sergio Lanfranchi, Parma</t>
  </si>
  <si>
    <t>Yrk = York Community Stadium; Nor = Franklin's Gardens, Northampton</t>
  </si>
  <si>
    <t>Ws = Audi Field, Washington D.C.; Ott = TD Place, Ottawa; Sld = Stadium of Light, Sunderland</t>
  </si>
  <si>
    <t>Stadium of Light, Sunderland</t>
  </si>
  <si>
    <t>Cvo</t>
  </si>
  <si>
    <t>Edi = Hive Stadium, Edinburgh; Vda = Stadio Luigi Zaffanella, Viadana</t>
  </si>
  <si>
    <t>Cvo = Stadio San Michele, Calvisano; Exe = Sandy Park, Exeter</t>
  </si>
  <si>
    <t>19-5</t>
  </si>
  <si>
    <t>5-19</t>
  </si>
  <si>
    <t>Cvo = Stadio San Michele, Calvisano; Nor = Franklin's Gardens, Northampton</t>
  </si>
  <si>
    <t>Exe = Sandy Park, Exeter; Yrk = York Community Stadium</t>
  </si>
  <si>
    <t>Stadio San Michele, Calvisano</t>
  </si>
  <si>
    <t>Mm</t>
  </si>
  <si>
    <t>Tw = Allianz Stadium, London; Mm = Stade Guy et Andre Boniface, Mont de Marsan</t>
  </si>
  <si>
    <t>3-19</t>
  </si>
  <si>
    <t>19-3</t>
  </si>
  <si>
    <t>Sld = Stadium of Light, Sunderland; Nor = Franklin's Gardens, Northampton</t>
  </si>
  <si>
    <t>Stade Guy et Andre Boniface, Mont de Marsan</t>
  </si>
  <si>
    <t>Franklin's Gardens, Northampton</t>
  </si>
  <si>
    <t>York Community Stadium</t>
  </si>
  <si>
    <t>Brighton &amp; Hove Albion Stadium</t>
  </si>
  <si>
    <t>Salford Community Stadium</t>
  </si>
  <si>
    <t>Sandy Park, Exeter</t>
  </si>
  <si>
    <t>13 Sp</t>
  </si>
  <si>
    <t>Ashton Gate, Bristol</t>
  </si>
  <si>
    <t>14 Sp</t>
  </si>
  <si>
    <t>19 Sp</t>
  </si>
  <si>
    <t>20 Sp</t>
  </si>
  <si>
    <t>27 Sp</t>
  </si>
  <si>
    <t>Andrew Moule (Wal)</t>
  </si>
  <si>
    <t>Jess Kavanagh (Wal)</t>
  </si>
  <si>
    <t>Cxo</t>
  </si>
  <si>
    <t>Ali = Estadio Nelson Mandela, Alicante; Cxo = Estadio Municipal do Cartaxo, Cartaxo</t>
  </si>
  <si>
    <t>Tdv</t>
  </si>
  <si>
    <t>Tdv = Estadio El Vergeret, Tavernes de la Valldigna; Ace = Hotel Bonalba Alicante, Alicante; Kit = Mikuni World Stadium, Kitakyushu;</t>
  </si>
  <si>
    <t>Marco Minelli (Por)</t>
  </si>
  <si>
    <t>Valentina Bianchetto (Eng)</t>
  </si>
  <si>
    <t>Doriane Domenjo (Fra)</t>
  </si>
  <si>
    <t>Clemence Fayard (Fra)</t>
  </si>
  <si>
    <t>Lidwine Alba (Fra)</t>
  </si>
  <si>
    <t>TIMES OF TRIES SCORED (INCLUDING PENALTY TRIES)</t>
  </si>
  <si>
    <t>BONUS POINTS EARNED</t>
  </si>
  <si>
    <t>Tries Conceded</t>
  </si>
  <si>
    <t>11-20</t>
  </si>
  <si>
    <t>21-30</t>
  </si>
  <si>
    <t>31-40</t>
  </si>
  <si>
    <t>1st H</t>
  </si>
  <si>
    <t>41-50</t>
  </si>
  <si>
    <t>51-60</t>
  </si>
  <si>
    <t>61-70</t>
  </si>
  <si>
    <t>71-80</t>
  </si>
  <si>
    <t>2nd H</t>
  </si>
  <si>
    <t>TOT</t>
  </si>
  <si>
    <t>TRY</t>
  </si>
  <si>
    <t>LOSE</t>
  </si>
  <si>
    <t>TIMES OF TRIES CONCEDED (INCLUDING PENALTY TRIES)</t>
  </si>
  <si>
    <t>TS</t>
  </si>
  <si>
    <t>TC</t>
  </si>
  <si>
    <t>TBC</t>
  </si>
  <si>
    <t>DG</t>
  </si>
  <si>
    <t>BONUS POINTS CONCEDED</t>
  </si>
  <si>
    <t>LOSING FROM WINNING POSITION IN 2nd HALF (LATEST TIME ONLY)</t>
  </si>
  <si>
    <t>Tot</t>
  </si>
  <si>
    <t>At end of regular season</t>
  </si>
  <si>
    <t>LOSING BP LOST IN 71-80 MINS</t>
  </si>
  <si>
    <t>TIME OF BONUS POINT TRIES (MINS)</t>
  </si>
  <si>
    <t>SF</t>
  </si>
  <si>
    <t>1m 30s</t>
  </si>
  <si>
    <t>QF</t>
  </si>
  <si>
    <t>AUS</t>
  </si>
  <si>
    <t>BRA</t>
  </si>
  <si>
    <t>CAN</t>
  </si>
  <si>
    <t>ENG</t>
  </si>
  <si>
    <t>FIJ</t>
  </si>
  <si>
    <t>FRA</t>
  </si>
  <si>
    <t>IRE</t>
  </si>
  <si>
    <t>ITA</t>
  </si>
  <si>
    <t>JPN</t>
  </si>
  <si>
    <t>NZL</t>
  </si>
  <si>
    <t>RSA</t>
  </si>
  <si>
    <t>SAM</t>
  </si>
  <si>
    <t>SCO</t>
  </si>
  <si>
    <t>ESP</t>
  </si>
  <si>
    <t>WAL</t>
  </si>
  <si>
    <t>Crowd for USA match was a Women's World Cup record</t>
  </si>
  <si>
    <t>28-7</t>
  </si>
  <si>
    <t>7-28</t>
  </si>
  <si>
    <t>Crowd of 42,723 for England match was a Women's World Cup record</t>
  </si>
  <si>
    <t>World Cup Pool A</t>
  </si>
  <si>
    <t>45-0</t>
  </si>
  <si>
    <t>0-45</t>
  </si>
  <si>
    <t>*Salale</t>
  </si>
  <si>
    <t>Mamea</t>
  </si>
  <si>
    <t>Sam</t>
  </si>
  <si>
    <t>AUS (Amosa) v Sam 23 Ag</t>
  </si>
  <si>
    <r>
      <t xml:space="preserve">Salford Community Stadium, </t>
    </r>
    <r>
      <rPr>
        <b/>
        <sz val="11"/>
        <color theme="1"/>
        <rFont val="Calibri"/>
        <family val="2"/>
        <scheme val="minor"/>
      </rPr>
      <t>England</t>
    </r>
  </si>
  <si>
    <t>17-8</t>
  </si>
  <si>
    <t>8-17</t>
  </si>
  <si>
    <t>0m 53s</t>
  </si>
  <si>
    <t>SCO (McGhie) v Wal 23 Ag</t>
  </si>
  <si>
    <t>Wal</t>
  </si>
  <si>
    <t>World Cup Pool B</t>
  </si>
  <si>
    <t>24-0</t>
  </si>
  <si>
    <t>0-24</t>
  </si>
  <si>
    <t>17 CAN v Fij (23 Ag)</t>
  </si>
  <si>
    <t>Fij</t>
  </si>
  <si>
    <r>
      <t xml:space="preserve">York Community Stadium, </t>
    </r>
    <r>
      <rPr>
        <b/>
        <sz val="11"/>
        <color theme="1"/>
        <rFont val="Calibri"/>
        <family val="2"/>
        <scheme val="minor"/>
      </rPr>
      <t>England</t>
    </r>
  </si>
  <si>
    <t>World Cup Pool D</t>
  </si>
  <si>
    <r>
      <t xml:space="preserve">Sandy Park, Exeter, </t>
    </r>
    <r>
      <rPr>
        <b/>
        <sz val="11"/>
        <rFont val="Calibri"/>
        <family val="2"/>
        <scheme val="minor"/>
      </rPr>
      <t>England</t>
    </r>
  </si>
  <si>
    <t>Precious Pazanai (Zim)</t>
  </si>
  <si>
    <t>WORLD CUP  (Including Plate, Bowl &amp; Shield matches)</t>
  </si>
  <si>
    <t>CAN v Fij (23 Ag)</t>
  </si>
  <si>
    <t>WAL v Sco (23 Ag)</t>
  </si>
  <si>
    <t>IRE v JPN (24 Ag)</t>
  </si>
  <si>
    <t>Jpn</t>
  </si>
  <si>
    <t>4m 27s</t>
  </si>
  <si>
    <t>IRE (Costigan) v Jpn 24 Ag</t>
  </si>
  <si>
    <t>World Cup Pool C</t>
  </si>
  <si>
    <r>
      <t xml:space="preserve">Franklin's Gardens, Northampton, </t>
    </r>
    <r>
      <rPr>
        <b/>
        <sz val="11"/>
        <color theme="1"/>
        <rFont val="Calibri"/>
        <family val="2"/>
        <scheme val="minor"/>
      </rPr>
      <t>England</t>
    </r>
  </si>
  <si>
    <t>2m 16s</t>
  </si>
  <si>
    <t>RSA (Roos) v Bra 24 Ag</t>
  </si>
  <si>
    <t>40+1</t>
  </si>
  <si>
    <t>Bra</t>
  </si>
  <si>
    <t>21-3</t>
  </si>
  <si>
    <t>3-21</t>
  </si>
  <si>
    <t>Esp</t>
  </si>
  <si>
    <t>WCQ</t>
  </si>
  <si>
    <t>PAC = Pacific Four; INT = International; WC = World Cup</t>
  </si>
  <si>
    <t>28-0</t>
  </si>
  <si>
    <t>0-28</t>
  </si>
  <si>
    <t>Crabb, Evans G</t>
  </si>
  <si>
    <t>CAN v WAL (30 Ag)</t>
  </si>
  <si>
    <t>DeMerchant, Perry</t>
  </si>
  <si>
    <t>Tawake, Vasuturaga</t>
  </si>
  <si>
    <t>12+ Points scored in any 10-minute Powerplay period:</t>
  </si>
  <si>
    <t>1m 35s</t>
  </si>
  <si>
    <t>SCO (McGhie) v Fij 30 Ag</t>
  </si>
  <si>
    <t>FASTEST TRIES (0-5 MINS)</t>
  </si>
  <si>
    <t>Matarugu, Nailolo</t>
  </si>
  <si>
    <t>Bri</t>
  </si>
  <si>
    <t>Btn = BHA Stadium, Brighton; Bri = Ashton Gate, Bristol</t>
  </si>
  <si>
    <t>47-0</t>
  </si>
  <si>
    <t>0-47</t>
  </si>
  <si>
    <t>2m 50s</t>
  </si>
  <si>
    <t>ENG (Jones) v Sam 30 Ag</t>
  </si>
  <si>
    <t>5-14</t>
  </si>
  <si>
    <t>14-5</t>
  </si>
  <si>
    <t>N.B. Australia drew v USA after being ahead in the 71st minute</t>
  </si>
  <si>
    <t>USA drew v Australia after being ahead in the 74th minute</t>
  </si>
  <si>
    <t>Aus</t>
  </si>
  <si>
    <t>If two or more teams in a pool are tied on competition points, the following tie-breakers apply (in order):</t>
  </si>
  <si>
    <t>1. The winner of the Match in which the two tied Teams have played each other</t>
  </si>
  <si>
    <t>2. Points Difference in all Pool Matches</t>
  </si>
  <si>
    <t>3. Try Difference in all Pool Matches</t>
  </si>
  <si>
    <t>4. Points Scored in all Pool Matches</t>
  </si>
  <si>
    <t>5. Tries Scored in all Pool Matches</t>
  </si>
  <si>
    <t>6. Official World Rankings on September 1, 2025</t>
  </si>
  <si>
    <t>Bri = Ashton Gate, Bristol</t>
  </si>
  <si>
    <t>24-12</t>
  </si>
  <si>
    <t>12-24</t>
  </si>
  <si>
    <t>Ire</t>
  </si>
  <si>
    <t>12-17</t>
  </si>
  <si>
    <t>17-12</t>
  </si>
  <si>
    <t>1m 10s</t>
  </si>
  <si>
    <t>RSA (Hele) v Ita 31 Ag</t>
  </si>
  <si>
    <t>Ita</t>
  </si>
  <si>
    <t>38-5</t>
  </si>
  <si>
    <t>5-38</t>
  </si>
  <si>
    <t>Penalty Tries: v Nzl (31 Ag)</t>
  </si>
  <si>
    <t>Bayfield</t>
  </si>
  <si>
    <t>*Bayfield</t>
  </si>
  <si>
    <t>*20-minute red card</t>
  </si>
  <si>
    <t>Hirotsu</t>
  </si>
  <si>
    <t>0 Points conceded with fewer than 15 players in any 10-minute spell:</t>
  </si>
  <si>
    <t>NZL v Jpn (31 Ag)</t>
  </si>
  <si>
    <t>19 NZL v Jpn (31 Ag)</t>
  </si>
  <si>
    <t>Try Bonus Pts</t>
  </si>
  <si>
    <t>Try Bonus Conc</t>
  </si>
  <si>
    <t>3m 49s</t>
  </si>
  <si>
    <t>JPN (Hatada) v Nzl 31 Ag</t>
  </si>
  <si>
    <t>q</t>
  </si>
  <si>
    <t>53-0</t>
  </si>
  <si>
    <t>0-53</t>
  </si>
  <si>
    <t>VB  = Vuvale Bowl; PAC = Pacific Four; INT = International; OR = O'Reilly Cup; WC = World Cup</t>
  </si>
  <si>
    <t>INT = International; AC = Asia Championship; WC = World Cup</t>
  </si>
  <si>
    <t>INT = International; OC = Oceania Championship; WC = World Cup</t>
  </si>
  <si>
    <t>INT = International; REC = Rugby Europe Championship; WC = World Cup</t>
  </si>
  <si>
    <t>14m 45s</t>
  </si>
  <si>
    <t>15m 47s</t>
  </si>
  <si>
    <t>15m 46s</t>
  </si>
  <si>
    <t>4m 36s</t>
  </si>
  <si>
    <t>FRA (Boulard) v Bra 31 Ag</t>
  </si>
  <si>
    <t>Penalty Tries: v Ire (5 Oc), USA (1 Ag), Sco (6 Sp)</t>
  </si>
  <si>
    <t>Leo Colgan (ire)</t>
  </si>
  <si>
    <t>Yrk = York Community Stadium; Btn = BHA Stadium, Brighton; Bri = Ashton Gate, Bristol</t>
  </si>
  <si>
    <t>WCQ = World Cup Quarter-Final</t>
  </si>
  <si>
    <t>PAC = Pacific Four; INT = International; WC = World Cup; WCQ = World Cup Quarter-Final</t>
  </si>
  <si>
    <t>Sco</t>
  </si>
  <si>
    <t>27-0</t>
  </si>
  <si>
    <t>Holly Wod (Eng)</t>
  </si>
  <si>
    <t>0-27</t>
  </si>
  <si>
    <t>USA v Sam (6 Sp)</t>
  </si>
  <si>
    <t>Bitter, Kelter</t>
  </si>
  <si>
    <t>Q</t>
  </si>
  <si>
    <t>15-28</t>
  </si>
  <si>
    <t>28-15</t>
  </si>
  <si>
    <t>1m 22s</t>
  </si>
  <si>
    <t>19-7</t>
  </si>
  <si>
    <t>Amelie Luciano (USA)</t>
  </si>
  <si>
    <t>7-19</t>
  </si>
  <si>
    <t>Moleka</t>
  </si>
  <si>
    <t>14 ENG v Aus (6 Sp)</t>
  </si>
  <si>
    <t>ENG v Aus (6 Sp)</t>
  </si>
  <si>
    <t>WAL (Cox) v Fij 6 Sp</t>
  </si>
  <si>
    <t>Fernandez de Corres</t>
  </si>
  <si>
    <t>30-3</t>
  </si>
  <si>
    <t>3-30</t>
  </si>
  <si>
    <t>Prioste</t>
  </si>
  <si>
    <r>
      <t xml:space="preserve">Brighton &amp; Hove Albion Stadium, </t>
    </r>
    <r>
      <rPr>
        <b/>
        <sz val="11"/>
        <rFont val="Calibri"/>
        <family val="2"/>
        <scheme val="minor"/>
      </rPr>
      <t>England</t>
    </r>
  </si>
  <si>
    <t>24-3</t>
  </si>
  <si>
    <t>3-24</t>
  </si>
  <si>
    <t>6N = Six Nations; WC = World Cup; WCQ = World Cup Quarter-Final</t>
  </si>
  <si>
    <t>6N = Six Nations; INT = International; WC = World Cup; WCQ = World Cup Quarter-Final</t>
  </si>
  <si>
    <t>INT = International; AC = Africa Cup; WC = World Cup; WCQ = World Cup Quarter-Final</t>
  </si>
  <si>
    <t>VB  = Vuvale Bowl; INT = International; OC = Oceania Championship; WC = World Cup</t>
  </si>
  <si>
    <t>Qawe</t>
  </si>
  <si>
    <t>12 SCO v Fij (30 Ag), CAN v Sco (6 Sp), FRA v RSA (7 Sp) x 2;</t>
  </si>
  <si>
    <t>14 AUS v Sam (23 Ag), CAN  Wal (30 Ag); FRA v RSA (7 Sp)</t>
  </si>
  <si>
    <t>10-10</t>
  </si>
  <si>
    <t>WCS</t>
  </si>
  <si>
    <t>WCF</t>
  </si>
  <si>
    <t xml:space="preserve">Bri = Ashton Gate, Bristol; Tw = Allianz Stadium, London; PAC = Pacific Four; INT = International;  </t>
  </si>
  <si>
    <t xml:space="preserve">OR = O'Reilly Cup;; WC = World Cup; WCQ = World Cup Quarter-Final; </t>
  </si>
  <si>
    <t>WCS = World Cup Semi-Final; WCF = World Cup Final</t>
  </si>
  <si>
    <t>Exe = Sandy Park, Exeter; Bri = Ashton Gate, Bristol; Tw = Allianz Stadium, London</t>
  </si>
  <si>
    <t>2m 01s</t>
  </si>
  <si>
    <t>CAN (Hogan-R) v Aus 13 Sp</t>
  </si>
  <si>
    <r>
      <t xml:space="preserve">Ashton Gate, Bristol, </t>
    </r>
    <r>
      <rPr>
        <b/>
        <sz val="11"/>
        <rFont val="Calibri"/>
        <family val="2"/>
        <scheme val="minor"/>
      </rPr>
      <t>England</t>
    </r>
  </si>
  <si>
    <t>Exe = Sandy Park, Exeter; Nor = Franklin's Gardens, Northampton; Bri = Ashton Gate, Bristol</t>
  </si>
  <si>
    <t>0-13</t>
  </si>
  <si>
    <t>Tw = Allianz Stadium, London; 6N = Six Nations; WC = World Cup; WCQ = World Cup Quarter-Final</t>
  </si>
  <si>
    <t>13-0</t>
  </si>
  <si>
    <t>Bernadou, Chambon, Feleu</t>
  </si>
  <si>
    <t>Djougang, Moore</t>
  </si>
  <si>
    <t>RSA v Fra (7 Sp)</t>
  </si>
  <si>
    <t>FRA v Ire (14 Sp)</t>
  </si>
  <si>
    <t>12 FRA v Ire (14 Sp)</t>
  </si>
  <si>
    <t>Win v Sco on 14 Sp was new World Record 31st consecutive Test victory</t>
  </si>
  <si>
    <t>WCB</t>
  </si>
  <si>
    <t>WCS = World Cup Semi-Final; WCB = World Cup Bronze Final</t>
  </si>
  <si>
    <t>7-24</t>
  </si>
  <si>
    <t>24-7</t>
  </si>
  <si>
    <t>World Cup Quarter-final</t>
  </si>
  <si>
    <t>World Cup Semi-final</t>
  </si>
  <si>
    <r>
      <t>Ashton Gate, Bristol,</t>
    </r>
    <r>
      <rPr>
        <b/>
        <sz val="11"/>
        <rFont val="Calibri"/>
        <family val="2"/>
        <scheme val="minor"/>
      </rPr>
      <t xml:space="preserve"> England</t>
    </r>
  </si>
  <si>
    <t>4m 28s</t>
  </si>
  <si>
    <t>ENG (Kildunne) v Fra 20 Sp</t>
  </si>
  <si>
    <t>Denmark</t>
  </si>
  <si>
    <t>Riga Technical College, Riga</t>
  </si>
  <si>
    <t>BF</t>
  </si>
  <si>
    <t>World Cup Bronze Final</t>
  </si>
  <si>
    <r>
      <t xml:space="preserve">Allianz Stadium, London, </t>
    </r>
    <r>
      <rPr>
        <b/>
        <sz val="11"/>
        <rFont val="Calibri"/>
        <family val="2"/>
        <scheme val="minor"/>
      </rPr>
      <t>England</t>
    </r>
  </si>
  <si>
    <t>21-8</t>
  </si>
  <si>
    <t>8-21</t>
  </si>
  <si>
    <t>Bern, Botterman</t>
  </si>
  <si>
    <t>4m 40s</t>
  </si>
  <si>
    <t>CAN (Hogan-Rochester) v Eng 27 Sp</t>
  </si>
  <si>
    <t>World Cup Final</t>
  </si>
  <si>
    <t>CSR/Nanok Rugby Club, Copenhagen</t>
  </si>
  <si>
    <t>Estadio Cincuentenario, Medellin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</si>
</sst>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</font>
    <font>
      <b/>
      <sz val="11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rgb="FF000000"/>
      <name val="Calibri"/>
      <family val="2"/>
    </font>
    <font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7" tint="0.3999755851924192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b/>
      <sz val="11"/>
      <color theme="6" tint="0.39997558519241921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b/>
      <sz val="11"/>
      <color theme="1"/>
      <name val="Calibri"/>
      <family val="2"/>
    </font>
    <font>
      <b/>
      <sz val="12"/>
      <name val="Calibri"/>
      <family val="2"/>
      <scheme val="minor"/>
    </font>
    <font>
      <sz val="11"/>
      <name val="Calibri"/>
      <family val="2"/>
    </font>
    <font>
      <b/>
      <sz val="11"/>
      <color rgb="FF000000"/>
      <name val="Calibri"/>
      <family val="2"/>
    </font>
    <font>
      <b/>
      <sz val="11"/>
      <color rgb="FFC00000"/>
      <name val="Calibri"/>
      <family val="2"/>
    </font>
    <font>
      <b/>
      <sz val="11"/>
      <color rgb="FFFFFFFF"/>
      <name val="Calibri"/>
      <family val="2"/>
    </font>
    <font>
      <sz val="11"/>
      <color theme="7" tint="0.3999755851924192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EE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2" tint="-0.249977111117893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2"/>
      <color theme="1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4B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E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05">
    <xf numFmtId="0" fontId="0" fillId="0" borderId="0" xfId="0"/>
    <xf numFmtId="0" fontId="18" fillId="3" borderId="2" xfId="0" applyFont="1" applyFill="1" applyBorder="1"/>
    <xf numFmtId="0" fontId="19" fillId="3" borderId="7" xfId="0" applyFont="1" applyFill="1" applyBorder="1"/>
    <xf numFmtId="49" fontId="19" fillId="3" borderId="7" xfId="0" applyNumberFormat="1" applyFont="1" applyFill="1" applyBorder="1"/>
    <xf numFmtId="0" fontId="19" fillId="3" borderId="8" xfId="0" applyFont="1" applyFill="1" applyBorder="1"/>
    <xf numFmtId="0" fontId="19" fillId="3" borderId="9" xfId="0" applyFont="1" applyFill="1" applyBorder="1"/>
    <xf numFmtId="0" fontId="18" fillId="3" borderId="1" xfId="0" applyFont="1" applyFill="1" applyBorder="1"/>
    <xf numFmtId="0" fontId="18" fillId="3" borderId="10" xfId="0" applyFont="1" applyFill="1" applyBorder="1" applyAlignment="1">
      <alignment vertical="center" wrapText="1"/>
    </xf>
    <xf numFmtId="0" fontId="18" fillId="3" borderId="5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8" fillId="2" borderId="0" xfId="0" applyFont="1" applyFill="1"/>
    <xf numFmtId="0" fontId="0" fillId="2" borderId="0" xfId="0" applyFill="1"/>
    <xf numFmtId="0" fontId="20" fillId="0" borderId="0" xfId="0" applyFont="1"/>
    <xf numFmtId="0" fontId="18" fillId="3" borderId="11" xfId="0" applyFont="1" applyFill="1" applyBorder="1"/>
    <xf numFmtId="0" fontId="19" fillId="3" borderId="12" xfId="0" applyFont="1" applyFill="1" applyBorder="1"/>
    <xf numFmtId="0" fontId="18" fillId="6" borderId="1" xfId="0" applyFont="1" applyFill="1" applyBorder="1"/>
    <xf numFmtId="0" fontId="18" fillId="6" borderId="2" xfId="0" applyFont="1" applyFill="1" applyBorder="1"/>
    <xf numFmtId="0" fontId="18" fillId="6" borderId="11" xfId="0" applyFont="1" applyFill="1" applyBorder="1"/>
    <xf numFmtId="0" fontId="18" fillId="6" borderId="10" xfId="0" applyFont="1" applyFill="1" applyBorder="1" applyAlignment="1">
      <alignment vertical="center" wrapText="1"/>
    </xf>
    <xf numFmtId="0" fontId="18" fillId="6" borderId="5" xfId="0" applyFont="1" applyFill="1" applyBorder="1" applyAlignment="1">
      <alignment vertical="center" wrapText="1"/>
    </xf>
    <xf numFmtId="0" fontId="18" fillId="6" borderId="1" xfId="0" applyFont="1" applyFill="1" applyBorder="1" applyAlignment="1">
      <alignment vertical="center" wrapText="1"/>
    </xf>
    <xf numFmtId="0" fontId="18" fillId="6" borderId="1" xfId="0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 wrapText="1"/>
    </xf>
    <xf numFmtId="0" fontId="19" fillId="6" borderId="7" xfId="0" applyFont="1" applyFill="1" applyBorder="1"/>
    <xf numFmtId="49" fontId="19" fillId="6" borderId="7" xfId="0" applyNumberFormat="1" applyFont="1" applyFill="1" applyBorder="1"/>
    <xf numFmtId="0" fontId="19" fillId="6" borderId="8" xfId="0" applyFont="1" applyFill="1" applyBorder="1"/>
    <xf numFmtId="0" fontId="19" fillId="6" borderId="12" xfId="0" applyFont="1" applyFill="1" applyBorder="1"/>
    <xf numFmtId="0" fontId="19" fillId="6" borderId="9" xfId="0" applyFont="1" applyFill="1" applyBorder="1"/>
    <xf numFmtId="0" fontId="18" fillId="8" borderId="1" xfId="0" applyFont="1" applyFill="1" applyBorder="1"/>
    <xf numFmtId="0" fontId="18" fillId="8" borderId="2" xfId="0" applyFont="1" applyFill="1" applyBorder="1"/>
    <xf numFmtId="0" fontId="18" fillId="8" borderId="11" xfId="0" applyFont="1" applyFill="1" applyBorder="1"/>
    <xf numFmtId="0" fontId="18" fillId="8" borderId="10" xfId="0" applyFont="1" applyFill="1" applyBorder="1" applyAlignment="1">
      <alignment vertical="center" wrapText="1"/>
    </xf>
    <xf numFmtId="0" fontId="18" fillId="8" borderId="5" xfId="0" applyFont="1" applyFill="1" applyBorder="1" applyAlignment="1">
      <alignment vertical="center" wrapText="1"/>
    </xf>
    <xf numFmtId="0" fontId="18" fillId="8" borderId="1" xfId="0" applyFont="1" applyFill="1" applyBorder="1" applyAlignment="1">
      <alignment vertical="center" wrapText="1"/>
    </xf>
    <xf numFmtId="0" fontId="18" fillId="8" borderId="1" xfId="0" applyFont="1" applyFill="1" applyBorder="1" applyAlignment="1">
      <alignment horizontal="center" vertical="center" wrapText="1"/>
    </xf>
    <xf numFmtId="0" fontId="18" fillId="8" borderId="6" xfId="0" applyFont="1" applyFill="1" applyBorder="1" applyAlignment="1">
      <alignment horizontal="center" vertical="center" wrapText="1"/>
    </xf>
    <xf numFmtId="0" fontId="19" fillId="8" borderId="7" xfId="0" applyFont="1" applyFill="1" applyBorder="1"/>
    <xf numFmtId="49" fontId="19" fillId="8" borderId="7" xfId="0" applyNumberFormat="1" applyFont="1" applyFill="1" applyBorder="1"/>
    <xf numFmtId="0" fontId="19" fillId="8" borderId="8" xfId="0" applyFont="1" applyFill="1" applyBorder="1"/>
    <xf numFmtId="0" fontId="19" fillId="8" borderId="12" xfId="0" applyFont="1" applyFill="1" applyBorder="1"/>
    <xf numFmtId="0" fontId="19" fillId="8" borderId="9" xfId="0" applyFont="1" applyFill="1" applyBorder="1"/>
    <xf numFmtId="0" fontId="18" fillId="6" borderId="3" xfId="0" applyFont="1" applyFill="1" applyBorder="1" applyAlignment="1">
      <alignment horizontal="left" wrapText="1"/>
    </xf>
    <xf numFmtId="0" fontId="18" fillId="8" borderId="3" xfId="0" applyFont="1" applyFill="1" applyBorder="1" applyAlignment="1">
      <alignment horizontal="left" wrapText="1"/>
    </xf>
    <xf numFmtId="0" fontId="18" fillId="3" borderId="3" xfId="0" applyFont="1" applyFill="1" applyBorder="1" applyAlignment="1">
      <alignment horizontal="left" wrapText="1"/>
    </xf>
    <xf numFmtId="0" fontId="18" fillId="3" borderId="3" xfId="0" applyFont="1" applyFill="1" applyBorder="1"/>
    <xf numFmtId="0" fontId="18" fillId="6" borderId="3" xfId="0" applyFont="1" applyFill="1" applyBorder="1"/>
    <xf numFmtId="0" fontId="0" fillId="2" borderId="1" xfId="0" applyFill="1" applyBorder="1"/>
    <xf numFmtId="0" fontId="0" fillId="0" borderId="4" xfId="0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0" fillId="2" borderId="6" xfId="0" applyFill="1" applyBorder="1" applyAlignment="1">
      <alignment horizontal="right" vertical="center" wrapText="1"/>
    </xf>
    <xf numFmtId="0" fontId="14" fillId="2" borderId="6" xfId="0" applyFont="1" applyFill="1" applyBorder="1" applyAlignment="1">
      <alignment horizontal="right" vertical="center" wrapText="1"/>
    </xf>
    <xf numFmtId="0" fontId="16" fillId="2" borderId="6" xfId="0" applyFont="1" applyFill="1" applyBorder="1" applyAlignment="1">
      <alignment horizontal="right" vertical="center" wrapText="1"/>
    </xf>
    <xf numFmtId="0" fontId="17" fillId="2" borderId="6" xfId="0" applyFont="1" applyFill="1" applyBorder="1" applyAlignment="1">
      <alignment horizontal="right" vertical="center" wrapText="1"/>
    </xf>
    <xf numFmtId="1" fontId="16" fillId="2" borderId="0" xfId="0" applyNumberFormat="1" applyFont="1" applyFill="1" applyAlignment="1">
      <alignment horizontal="left" vertical="center" wrapText="1"/>
    </xf>
    <xf numFmtId="0" fontId="17" fillId="2" borderId="0" xfId="0" applyFont="1" applyFill="1" applyAlignment="1">
      <alignment vertical="center" wrapText="1"/>
    </xf>
    <xf numFmtId="0" fontId="17" fillId="2" borderId="0" xfId="0" applyFont="1" applyFill="1" applyAlignment="1">
      <alignment horizontal="right" vertical="center" wrapText="1"/>
    </xf>
    <xf numFmtId="0" fontId="18" fillId="3" borderId="6" xfId="0" applyFont="1" applyFill="1" applyBorder="1" applyAlignment="1">
      <alignment vertical="center" wrapText="1"/>
    </xf>
    <xf numFmtId="0" fontId="18" fillId="6" borderId="6" xfId="0" applyFont="1" applyFill="1" applyBorder="1" applyAlignment="1">
      <alignment vertical="center" wrapText="1"/>
    </xf>
    <xf numFmtId="0" fontId="18" fillId="2" borderId="0" xfId="0" applyFont="1" applyFill="1" applyAlignment="1">
      <alignment vertical="center" wrapText="1"/>
    </xf>
    <xf numFmtId="0" fontId="14" fillId="12" borderId="1" xfId="0" applyFont="1" applyFill="1" applyBorder="1" applyAlignment="1">
      <alignment horizontal="right"/>
    </xf>
    <xf numFmtId="0" fontId="16" fillId="11" borderId="6" xfId="0" applyFont="1" applyFill="1" applyBorder="1" applyAlignment="1">
      <alignment vertical="center" wrapText="1"/>
    </xf>
    <xf numFmtId="0" fontId="16" fillId="11" borderId="1" xfId="0" applyFont="1" applyFill="1" applyBorder="1" applyAlignment="1">
      <alignment vertical="center" wrapText="1"/>
    </xf>
    <xf numFmtId="0" fontId="14" fillId="12" borderId="1" xfId="0" applyFont="1" applyFill="1" applyBorder="1"/>
    <xf numFmtId="0" fontId="14" fillId="10" borderId="5" xfId="0" applyFont="1" applyFill="1" applyBorder="1" applyAlignment="1">
      <alignment horizontal="right" vertical="center" wrapText="1"/>
    </xf>
    <xf numFmtId="0" fontId="16" fillId="10" borderId="5" xfId="0" applyFont="1" applyFill="1" applyBorder="1" applyAlignment="1">
      <alignment horizontal="right" vertical="center" wrapText="1"/>
    </xf>
    <xf numFmtId="0" fontId="16" fillId="10" borderId="5" xfId="0" applyFont="1" applyFill="1" applyBorder="1" applyAlignment="1">
      <alignment horizontal="left" vertical="center" wrapText="1"/>
    </xf>
    <xf numFmtId="0" fontId="14" fillId="10" borderId="5" xfId="0" applyFont="1" applyFill="1" applyBorder="1" applyAlignment="1">
      <alignment horizontal="left" vertical="center" wrapText="1"/>
    </xf>
    <xf numFmtId="0" fontId="16" fillId="11" borderId="6" xfId="0" applyFont="1" applyFill="1" applyBorder="1" applyAlignment="1">
      <alignment horizontal="right" vertical="center" wrapText="1"/>
    </xf>
    <xf numFmtId="0" fontId="16" fillId="11" borderId="1" xfId="0" applyFont="1" applyFill="1" applyBorder="1" applyAlignment="1">
      <alignment horizontal="right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0" fillId="0" borderId="9" xfId="0" applyBorder="1"/>
    <xf numFmtId="0" fontId="14" fillId="0" borderId="0" xfId="0" applyFont="1"/>
    <xf numFmtId="0" fontId="15" fillId="8" borderId="1" xfId="0" applyFont="1" applyFill="1" applyBorder="1"/>
    <xf numFmtId="0" fontId="15" fillId="8" borderId="10" xfId="0" applyFont="1" applyFill="1" applyBorder="1" applyAlignment="1">
      <alignment vertical="center" wrapText="1"/>
    </xf>
    <xf numFmtId="0" fontId="15" fillId="8" borderId="5" xfId="0" applyFont="1" applyFill="1" applyBorder="1" applyAlignment="1">
      <alignment vertical="center" wrapText="1"/>
    </xf>
    <xf numFmtId="0" fontId="15" fillId="8" borderId="1" xfId="0" applyFont="1" applyFill="1" applyBorder="1" applyAlignment="1">
      <alignment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15" fillId="8" borderId="6" xfId="0" applyFont="1" applyFill="1" applyBorder="1" applyAlignment="1">
      <alignment horizontal="center" vertical="center" wrapText="1"/>
    </xf>
    <xf numFmtId="0" fontId="14" fillId="7" borderId="7" xfId="0" applyFont="1" applyFill="1" applyBorder="1" applyAlignment="1">
      <alignment horizontal="center"/>
    </xf>
    <xf numFmtId="0" fontId="14" fillId="7" borderId="5" xfId="0" applyFont="1" applyFill="1" applyBorder="1" applyAlignment="1">
      <alignment horizontal="center"/>
    </xf>
    <xf numFmtId="0" fontId="14" fillId="7" borderId="11" xfId="0" applyFont="1" applyFill="1" applyBorder="1" applyAlignment="1">
      <alignment horizontal="center"/>
    </xf>
    <xf numFmtId="0" fontId="14" fillId="7" borderId="14" xfId="0" applyFont="1" applyFill="1" applyBorder="1" applyAlignment="1">
      <alignment horizontal="center"/>
    </xf>
    <xf numFmtId="0" fontId="14" fillId="7" borderId="15" xfId="0" applyFont="1" applyFill="1" applyBorder="1" applyAlignment="1">
      <alignment horizontal="center"/>
    </xf>
    <xf numFmtId="0" fontId="14" fillId="7" borderId="6" xfId="0" applyFont="1" applyFill="1" applyBorder="1" applyAlignment="1">
      <alignment horizontal="center"/>
    </xf>
    <xf numFmtId="0" fontId="14" fillId="7" borderId="16" xfId="0" applyFont="1" applyFill="1" applyBorder="1" applyAlignment="1">
      <alignment horizontal="center"/>
    </xf>
    <xf numFmtId="0" fontId="0" fillId="0" borderId="17" xfId="0" applyBorder="1"/>
    <xf numFmtId="1" fontId="0" fillId="0" borderId="13" xfId="0" applyNumberFormat="1" applyBorder="1"/>
    <xf numFmtId="0" fontId="14" fillId="0" borderId="11" xfId="0" applyFont="1" applyBorder="1"/>
    <xf numFmtId="0" fontId="14" fillId="0" borderId="4" xfId="0" applyFont="1" applyBorder="1"/>
    <xf numFmtId="0" fontId="14" fillId="0" borderId="14" xfId="0" applyFont="1" applyBorder="1"/>
    <xf numFmtId="2" fontId="0" fillId="0" borderId="11" xfId="0" applyNumberFormat="1" applyBorder="1"/>
    <xf numFmtId="2" fontId="0" fillId="0" borderId="4" xfId="0" applyNumberFormat="1" applyBorder="1"/>
    <xf numFmtId="0" fontId="14" fillId="4" borderId="1" xfId="0" applyFont="1" applyFill="1" applyBorder="1"/>
    <xf numFmtId="0" fontId="21" fillId="9" borderId="5" xfId="0" applyFont="1" applyFill="1" applyBorder="1" applyAlignment="1">
      <alignment vertical="center" wrapText="1"/>
    </xf>
    <xf numFmtId="0" fontId="25" fillId="2" borderId="6" xfId="0" applyFont="1" applyFill="1" applyBorder="1" applyAlignment="1">
      <alignment vertical="center" wrapText="1"/>
    </xf>
    <xf numFmtId="0" fontId="25" fillId="2" borderId="5" xfId="0" applyFont="1" applyFill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24" fillId="0" borderId="4" xfId="0" applyFont="1" applyBorder="1" applyAlignment="1">
      <alignment horizontal="center" vertical="center" wrapText="1"/>
    </xf>
    <xf numFmtId="0" fontId="14" fillId="14" borderId="5" xfId="0" applyFont="1" applyFill="1" applyBorder="1" applyAlignment="1">
      <alignment vertical="center" wrapText="1"/>
    </xf>
    <xf numFmtId="0" fontId="25" fillId="2" borderId="1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vertical="center" wrapText="1"/>
    </xf>
    <xf numFmtId="15" fontId="0" fillId="0" borderId="0" xfId="0" applyNumberFormat="1"/>
    <xf numFmtId="16" fontId="16" fillId="2" borderId="0" xfId="0" applyNumberFormat="1" applyFont="1" applyFill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0" fontId="27" fillId="2" borderId="0" xfId="0" applyFont="1" applyFill="1"/>
    <xf numFmtId="0" fontId="27" fillId="5" borderId="4" xfId="0" applyFont="1" applyFill="1" applyBorder="1" applyAlignment="1">
      <alignment horizontal="center" vertical="center" wrapText="1"/>
    </xf>
    <xf numFmtId="0" fontId="27" fillId="16" borderId="4" xfId="0" applyFont="1" applyFill="1" applyBorder="1" applyAlignment="1">
      <alignment horizontal="center" vertical="center" wrapText="1"/>
    </xf>
    <xf numFmtId="0" fontId="27" fillId="15" borderId="4" xfId="0" applyFont="1" applyFill="1" applyBorder="1" applyAlignment="1">
      <alignment horizontal="center" vertical="center" wrapText="1"/>
    </xf>
    <xf numFmtId="1" fontId="0" fillId="0" borderId="0" xfId="0" applyNumberFormat="1"/>
    <xf numFmtId="0" fontId="18" fillId="6" borderId="1" xfId="0" applyFont="1" applyFill="1" applyBorder="1" applyAlignment="1">
      <alignment horizontal="right"/>
    </xf>
    <xf numFmtId="0" fontId="0" fillId="0" borderId="0" xfId="0" applyAlignment="1">
      <alignment horizontal="left"/>
    </xf>
    <xf numFmtId="1" fontId="12" fillId="0" borderId="0" xfId="0" applyNumberFormat="1" applyFont="1"/>
    <xf numFmtId="0" fontId="15" fillId="8" borderId="1" xfId="0" applyFont="1" applyFill="1" applyBorder="1" applyAlignment="1">
      <alignment horizontal="right"/>
    </xf>
    <xf numFmtId="0" fontId="18" fillId="3" borderId="1" xfId="0" applyFont="1" applyFill="1" applyBorder="1" applyAlignment="1">
      <alignment horizontal="right"/>
    </xf>
    <xf numFmtId="0" fontId="18" fillId="8" borderId="1" xfId="0" applyFont="1" applyFill="1" applyBorder="1" applyAlignment="1">
      <alignment horizontal="right"/>
    </xf>
    <xf numFmtId="0" fontId="14" fillId="10" borderId="5" xfId="0" applyFont="1" applyFill="1" applyBorder="1"/>
    <xf numFmtId="0" fontId="24" fillId="14" borderId="6" xfId="0" applyFont="1" applyFill="1" applyBorder="1" applyAlignment="1">
      <alignment vertical="center" wrapText="1"/>
    </xf>
    <xf numFmtId="0" fontId="25" fillId="2" borderId="1" xfId="0" applyFont="1" applyFill="1" applyBorder="1"/>
    <xf numFmtId="0" fontId="25" fillId="2" borderId="10" xfId="0" applyFont="1" applyFill="1" applyBorder="1" applyAlignment="1">
      <alignment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right"/>
    </xf>
    <xf numFmtId="0" fontId="25" fillId="2" borderId="1" xfId="0" applyFont="1" applyFill="1" applyBorder="1" applyAlignment="1">
      <alignment horizontal="center"/>
    </xf>
    <xf numFmtId="0" fontId="19" fillId="0" borderId="0" xfId="0" applyFont="1"/>
    <xf numFmtId="0" fontId="18" fillId="5" borderId="4" xfId="0" applyFont="1" applyFill="1" applyBorder="1" applyAlignment="1">
      <alignment horizontal="center" vertical="center" wrapText="1"/>
    </xf>
    <xf numFmtId="0" fontId="18" fillId="16" borderId="4" xfId="0" applyFont="1" applyFill="1" applyBorder="1" applyAlignment="1">
      <alignment horizontal="center" vertical="center" wrapText="1"/>
    </xf>
    <xf numFmtId="0" fontId="18" fillId="15" borderId="4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18" fillId="3" borderId="1" xfId="0" applyFont="1" applyFill="1" applyBorder="1" applyAlignment="1">
      <alignment horizontal="center"/>
    </xf>
    <xf numFmtId="0" fontId="18" fillId="8" borderId="1" xfId="0" applyFont="1" applyFill="1" applyBorder="1" applyAlignment="1">
      <alignment horizontal="center"/>
    </xf>
    <xf numFmtId="0" fontId="18" fillId="15" borderId="1" xfId="0" applyFont="1" applyFill="1" applyBorder="1"/>
    <xf numFmtId="0" fontId="18" fillId="15" borderId="1" xfId="0" applyFont="1" applyFill="1" applyBorder="1" applyAlignment="1">
      <alignment horizontal="center" vertical="center" wrapText="1"/>
    </xf>
    <xf numFmtId="0" fontId="11" fillId="0" borderId="0" xfId="0" applyFont="1"/>
    <xf numFmtId="0" fontId="14" fillId="14" borderId="5" xfId="0" applyFont="1" applyFill="1" applyBorder="1" applyAlignment="1">
      <alignment horizontal="right" vertical="center" wrapText="1"/>
    </xf>
    <xf numFmtId="0" fontId="18" fillId="9" borderId="3" xfId="0" applyFont="1" applyFill="1" applyBorder="1" applyAlignment="1">
      <alignment horizontal="left" wrapText="1"/>
    </xf>
    <xf numFmtId="0" fontId="18" fillId="9" borderId="1" xfId="0" applyFont="1" applyFill="1" applyBorder="1" applyAlignment="1">
      <alignment horizontal="center"/>
    </xf>
    <xf numFmtId="0" fontId="18" fillId="9" borderId="2" xfId="0" applyFont="1" applyFill="1" applyBorder="1"/>
    <xf numFmtId="0" fontId="18" fillId="9" borderId="1" xfId="0" applyFont="1" applyFill="1" applyBorder="1"/>
    <xf numFmtId="0" fontId="18" fillId="9" borderId="11" xfId="0" applyFont="1" applyFill="1" applyBorder="1"/>
    <xf numFmtId="0" fontId="18" fillId="9" borderId="10" xfId="0" applyFont="1" applyFill="1" applyBorder="1" applyAlignment="1">
      <alignment vertical="center" wrapText="1"/>
    </xf>
    <xf numFmtId="0" fontId="18" fillId="9" borderId="5" xfId="0" applyFont="1" applyFill="1" applyBorder="1" applyAlignment="1">
      <alignment vertical="center" wrapText="1"/>
    </xf>
    <xf numFmtId="0" fontId="18" fillId="9" borderId="1" xfId="0" applyFont="1" applyFill="1" applyBorder="1" applyAlignment="1">
      <alignment vertical="center" wrapText="1"/>
    </xf>
    <xf numFmtId="0" fontId="18" fillId="9" borderId="1" xfId="0" applyFont="1" applyFill="1" applyBorder="1" applyAlignment="1">
      <alignment horizontal="center" vertical="center" wrapText="1"/>
    </xf>
    <xf numFmtId="0" fontId="18" fillId="9" borderId="6" xfId="0" applyFont="1" applyFill="1" applyBorder="1" applyAlignment="1">
      <alignment horizontal="center" vertical="center" wrapText="1"/>
    </xf>
    <xf numFmtId="0" fontId="19" fillId="9" borderId="7" xfId="0" applyFont="1" applyFill="1" applyBorder="1"/>
    <xf numFmtId="49" fontId="19" fillId="9" borderId="7" xfId="0" applyNumberFormat="1" applyFont="1" applyFill="1" applyBorder="1"/>
    <xf numFmtId="0" fontId="19" fillId="9" borderId="8" xfId="0" applyFont="1" applyFill="1" applyBorder="1"/>
    <xf numFmtId="0" fontId="19" fillId="9" borderId="12" xfId="0" applyFont="1" applyFill="1" applyBorder="1"/>
    <xf numFmtId="0" fontId="18" fillId="9" borderId="1" xfId="0" applyFont="1" applyFill="1" applyBorder="1" applyAlignment="1">
      <alignment horizontal="right"/>
    </xf>
    <xf numFmtId="1" fontId="18" fillId="15" borderId="4" xfId="0" applyNumberFormat="1" applyFont="1" applyFill="1" applyBorder="1" applyAlignment="1">
      <alignment horizontal="center" vertical="center" wrapText="1"/>
    </xf>
    <xf numFmtId="0" fontId="29" fillId="14" borderId="6" xfId="0" applyFont="1" applyFill="1" applyBorder="1" applyAlignment="1">
      <alignment vertical="center" wrapText="1"/>
    </xf>
    <xf numFmtId="0" fontId="25" fillId="2" borderId="4" xfId="0" applyFont="1" applyFill="1" applyBorder="1" applyAlignment="1">
      <alignment horizontal="left" wrapText="1"/>
    </xf>
    <xf numFmtId="16" fontId="18" fillId="16" borderId="5" xfId="0" applyNumberFormat="1" applyFont="1" applyFill="1" applyBorder="1" applyAlignment="1">
      <alignment horizontal="left" vertical="center" wrapText="1"/>
    </xf>
    <xf numFmtId="0" fontId="18" fillId="16" borderId="6" xfId="0" applyFont="1" applyFill="1" applyBorder="1" applyAlignment="1">
      <alignment horizontal="left" vertical="center" wrapText="1"/>
    </xf>
    <xf numFmtId="0" fontId="18" fillId="16" borderId="6" xfId="0" applyFont="1" applyFill="1" applyBorder="1" applyAlignment="1">
      <alignment vertical="center" wrapText="1"/>
    </xf>
    <xf numFmtId="0" fontId="18" fillId="16" borderId="6" xfId="0" applyFont="1" applyFill="1" applyBorder="1" applyAlignment="1">
      <alignment horizontal="center" vertical="center" wrapText="1"/>
    </xf>
    <xf numFmtId="0" fontId="19" fillId="16" borderId="1" xfId="0" applyFont="1" applyFill="1" applyBorder="1"/>
    <xf numFmtId="0" fontId="18" fillId="16" borderId="1" xfId="0" applyFont="1" applyFill="1" applyBorder="1"/>
    <xf numFmtId="0" fontId="18" fillId="16" borderId="4" xfId="0" applyFont="1" applyFill="1" applyBorder="1"/>
    <xf numFmtId="0" fontId="19" fillId="16" borderId="7" xfId="0" applyFont="1" applyFill="1" applyBorder="1"/>
    <xf numFmtId="49" fontId="31" fillId="16" borderId="7" xfId="0" applyNumberFormat="1" applyFont="1" applyFill="1" applyBorder="1" applyAlignment="1">
      <alignment horizontal="center"/>
    </xf>
    <xf numFmtId="0" fontId="19" fillId="16" borderId="8" xfId="0" applyFont="1" applyFill="1" applyBorder="1"/>
    <xf numFmtId="0" fontId="19" fillId="16" borderId="9" xfId="0" applyFont="1" applyFill="1" applyBorder="1"/>
    <xf numFmtId="49" fontId="30" fillId="16" borderId="7" xfId="0" applyNumberFormat="1" applyFont="1" applyFill="1" applyBorder="1" applyAlignment="1">
      <alignment horizontal="center"/>
    </xf>
    <xf numFmtId="0" fontId="18" fillId="16" borderId="1" xfId="0" applyFont="1" applyFill="1" applyBorder="1" applyAlignment="1">
      <alignment vertical="center" wrapText="1"/>
    </xf>
    <xf numFmtId="49" fontId="30" fillId="16" borderId="1" xfId="0" applyNumberFormat="1" applyFont="1" applyFill="1" applyBorder="1" applyAlignment="1">
      <alignment horizontal="center"/>
    </xf>
    <xf numFmtId="49" fontId="33" fillId="16" borderId="7" xfId="0" applyNumberFormat="1" applyFont="1" applyFill="1" applyBorder="1" applyAlignment="1">
      <alignment horizontal="center"/>
    </xf>
    <xf numFmtId="16" fontId="18" fillId="5" borderId="5" xfId="0" applyNumberFormat="1" applyFont="1" applyFill="1" applyBorder="1" applyAlignment="1">
      <alignment horizontal="left" vertical="center" wrapText="1"/>
    </xf>
    <xf numFmtId="0" fontId="18" fillId="5" borderId="6" xfId="0" applyFont="1" applyFill="1" applyBorder="1" applyAlignment="1">
      <alignment vertical="center" wrapText="1"/>
    </xf>
    <xf numFmtId="0" fontId="18" fillId="5" borderId="6" xfId="0" applyFont="1" applyFill="1" applyBorder="1" applyAlignment="1">
      <alignment horizontal="center" vertical="center" wrapText="1"/>
    </xf>
    <xf numFmtId="0" fontId="19" fillId="5" borderId="7" xfId="0" applyFont="1" applyFill="1" applyBorder="1"/>
    <xf numFmtId="49" fontId="30" fillId="5" borderId="7" xfId="0" applyNumberFormat="1" applyFont="1" applyFill="1" applyBorder="1" applyAlignment="1">
      <alignment horizontal="center"/>
    </xf>
    <xf numFmtId="0" fontId="19" fillId="5" borderId="8" xfId="0" applyFont="1" applyFill="1" applyBorder="1"/>
    <xf numFmtId="0" fontId="19" fillId="5" borderId="1" xfId="0" applyFont="1" applyFill="1" applyBorder="1"/>
    <xf numFmtId="0" fontId="19" fillId="5" borderId="9" xfId="0" applyFont="1" applyFill="1" applyBorder="1"/>
    <xf numFmtId="0" fontId="18" fillId="5" borderId="1" xfId="0" applyFont="1" applyFill="1" applyBorder="1"/>
    <xf numFmtId="0" fontId="18" fillId="5" borderId="4" xfId="0" applyFont="1" applyFill="1" applyBorder="1"/>
    <xf numFmtId="0" fontId="18" fillId="5" borderId="6" xfId="0" applyFont="1" applyFill="1" applyBorder="1" applyAlignment="1">
      <alignment horizontal="left" vertical="center" wrapText="1"/>
    </xf>
    <xf numFmtId="49" fontId="31" fillId="5" borderId="7" xfId="0" applyNumberFormat="1" applyFont="1" applyFill="1" applyBorder="1" applyAlignment="1">
      <alignment horizontal="center"/>
    </xf>
    <xf numFmtId="0" fontId="18" fillId="5" borderId="1" xfId="0" applyFont="1" applyFill="1" applyBorder="1" applyAlignment="1">
      <alignment vertical="center" wrapText="1"/>
    </xf>
    <xf numFmtId="0" fontId="17" fillId="2" borderId="0" xfId="0" applyFont="1" applyFill="1"/>
    <xf numFmtId="0" fontId="18" fillId="15" borderId="6" xfId="0" applyFont="1" applyFill="1" applyBorder="1" applyAlignment="1">
      <alignment horizontal="center" vertical="center" wrapText="1"/>
    </xf>
    <xf numFmtId="0" fontId="18" fillId="15" borderId="4" xfId="0" applyFont="1" applyFill="1" applyBorder="1"/>
    <xf numFmtId="0" fontId="19" fillId="15" borderId="1" xfId="0" applyFont="1" applyFill="1" applyBorder="1"/>
    <xf numFmtId="16" fontId="18" fillId="15" borderId="5" xfId="0" applyNumberFormat="1" applyFont="1" applyFill="1" applyBorder="1" applyAlignment="1">
      <alignment horizontal="left" vertical="center" wrapText="1"/>
    </xf>
    <xf numFmtId="0" fontId="18" fillId="15" borderId="6" xfId="0" applyFont="1" applyFill="1" applyBorder="1" applyAlignment="1">
      <alignment vertical="center" wrapText="1"/>
    </xf>
    <xf numFmtId="0" fontId="19" fillId="15" borderId="7" xfId="0" applyFont="1" applyFill="1" applyBorder="1"/>
    <xf numFmtId="0" fontId="19" fillId="15" borderId="8" xfId="0" applyFont="1" applyFill="1" applyBorder="1"/>
    <xf numFmtId="0" fontId="19" fillId="15" borderId="9" xfId="0" applyFont="1" applyFill="1" applyBorder="1"/>
    <xf numFmtId="49" fontId="31" fillId="15" borderId="7" xfId="0" applyNumberFormat="1" applyFont="1" applyFill="1" applyBorder="1" applyAlignment="1">
      <alignment horizontal="center"/>
    </xf>
    <xf numFmtId="0" fontId="25" fillId="2" borderId="7" xfId="0" applyFont="1" applyFill="1" applyBorder="1"/>
    <xf numFmtId="49" fontId="25" fillId="2" borderId="7" xfId="0" applyNumberFormat="1" applyFont="1" applyFill="1" applyBorder="1"/>
    <xf numFmtId="0" fontId="25" fillId="2" borderId="8" xfId="0" applyFont="1" applyFill="1" applyBorder="1"/>
    <xf numFmtId="0" fontId="25" fillId="2" borderId="9" xfId="0" applyFont="1" applyFill="1" applyBorder="1"/>
    <xf numFmtId="0" fontId="18" fillId="0" borderId="0" xfId="0" applyFont="1"/>
    <xf numFmtId="49" fontId="30" fillId="15" borderId="7" xfId="0" applyNumberFormat="1" applyFont="1" applyFill="1" applyBorder="1" applyAlignment="1">
      <alignment horizontal="center"/>
    </xf>
    <xf numFmtId="16" fontId="34" fillId="2" borderId="0" xfId="0" applyNumberFormat="1" applyFont="1" applyFill="1" applyAlignment="1">
      <alignment horizontal="left" vertical="center" wrapText="1"/>
    </xf>
    <xf numFmtId="0" fontId="34" fillId="2" borderId="0" xfId="0" applyFont="1" applyFill="1" applyAlignment="1">
      <alignment horizontal="left" vertical="center" wrapText="1"/>
    </xf>
    <xf numFmtId="16" fontId="18" fillId="15" borderId="1" xfId="0" applyNumberFormat="1" applyFont="1" applyFill="1" applyBorder="1" applyAlignment="1">
      <alignment horizontal="left" vertical="center" wrapText="1"/>
    </xf>
    <xf numFmtId="0" fontId="18" fillId="15" borderId="1" xfId="0" applyFont="1" applyFill="1" applyBorder="1" applyAlignment="1">
      <alignment vertical="center" wrapText="1"/>
    </xf>
    <xf numFmtId="0" fontId="19" fillId="15" borderId="3" xfId="0" applyFont="1" applyFill="1" applyBorder="1"/>
    <xf numFmtId="49" fontId="30" fillId="15" borderId="1" xfId="0" applyNumberFormat="1" applyFont="1" applyFill="1" applyBorder="1" applyAlignment="1">
      <alignment horizontal="center"/>
    </xf>
    <xf numFmtId="0" fontId="14" fillId="13" borderId="0" xfId="0" applyFont="1" applyFill="1"/>
    <xf numFmtId="0" fontId="14" fillId="13" borderId="0" xfId="0" applyFont="1" applyFill="1" applyAlignment="1">
      <alignment horizontal="center"/>
    </xf>
    <xf numFmtId="0" fontId="18" fillId="8" borderId="3" xfId="0" applyFont="1" applyFill="1" applyBorder="1"/>
    <xf numFmtId="0" fontId="14" fillId="13" borderId="0" xfId="0" applyFont="1" applyFill="1" applyAlignment="1">
      <alignment horizontal="left"/>
    </xf>
    <xf numFmtId="16" fontId="0" fillId="0" borderId="0" xfId="0" applyNumberFormat="1"/>
    <xf numFmtId="1" fontId="0" fillId="0" borderId="0" xfId="0" applyNumberFormat="1" applyAlignment="1">
      <alignment horizontal="right"/>
    </xf>
    <xf numFmtId="1" fontId="10" fillId="0" borderId="0" xfId="0" applyNumberFormat="1" applyFont="1" applyAlignment="1">
      <alignment horizontal="right"/>
    </xf>
    <xf numFmtId="0" fontId="16" fillId="10" borderId="1" xfId="0" applyFont="1" applyFill="1" applyBorder="1" applyAlignment="1">
      <alignment horizontal="left" vertical="center" wrapText="1"/>
    </xf>
    <xf numFmtId="0" fontId="18" fillId="15" borderId="6" xfId="0" applyFont="1" applyFill="1" applyBorder="1" applyAlignment="1">
      <alignment horizontal="left" vertical="center" wrapText="1"/>
    </xf>
    <xf numFmtId="0" fontId="18" fillId="15" borderId="2" xfId="0" applyFont="1" applyFill="1" applyBorder="1" applyAlignment="1">
      <alignment vertical="center" wrapText="1"/>
    </xf>
    <xf numFmtId="0" fontId="16" fillId="10" borderId="1" xfId="0" applyFont="1" applyFill="1" applyBorder="1" applyAlignment="1">
      <alignment horizontal="right" vertical="center" wrapText="1"/>
    </xf>
    <xf numFmtId="0" fontId="18" fillId="8" borderId="6" xfId="0" applyFont="1" applyFill="1" applyBorder="1" applyAlignment="1">
      <alignment vertical="center" wrapText="1"/>
    </xf>
    <xf numFmtId="0" fontId="36" fillId="7" borderId="5" xfId="0" applyFont="1" applyFill="1" applyBorder="1" applyAlignment="1">
      <alignment vertical="center" wrapText="1"/>
    </xf>
    <xf numFmtId="0" fontId="16" fillId="2" borderId="4" xfId="0" applyFont="1" applyFill="1" applyBorder="1" applyAlignment="1">
      <alignment horizontal="left" wrapText="1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6" fillId="2" borderId="10" xfId="0" applyFont="1" applyFill="1" applyBorder="1" applyAlignment="1">
      <alignment vertical="center" wrapText="1"/>
    </xf>
    <xf numFmtId="0" fontId="16" fillId="2" borderId="5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/>
    <xf numFmtId="49" fontId="16" fillId="2" borderId="7" xfId="0" applyNumberFormat="1" applyFont="1" applyFill="1" applyBorder="1"/>
    <xf numFmtId="0" fontId="16" fillId="2" borderId="8" xfId="0" applyFont="1" applyFill="1" applyBorder="1"/>
    <xf numFmtId="0" fontId="16" fillId="2" borderId="1" xfId="0" applyFont="1" applyFill="1" applyBorder="1" applyAlignment="1">
      <alignment horizontal="right"/>
    </xf>
    <xf numFmtId="0" fontId="15" fillId="2" borderId="4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horizontal="center"/>
    </xf>
    <xf numFmtId="0" fontId="15" fillId="2" borderId="1" xfId="0" applyFont="1" applyFill="1" applyBorder="1"/>
    <xf numFmtId="0" fontId="15" fillId="2" borderId="10" xfId="0" applyFont="1" applyFill="1" applyBorder="1" applyAlignment="1">
      <alignment vertical="center" wrapText="1"/>
    </xf>
    <xf numFmtId="0" fontId="15" fillId="2" borderId="5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/>
    <xf numFmtId="49" fontId="15" fillId="2" borderId="7" xfId="0" applyNumberFormat="1" applyFont="1" applyFill="1" applyBorder="1"/>
    <xf numFmtId="0" fontId="15" fillId="2" borderId="8" xfId="0" applyFont="1" applyFill="1" applyBorder="1"/>
    <xf numFmtId="0" fontId="15" fillId="2" borderId="9" xfId="0" applyFont="1" applyFill="1" applyBorder="1"/>
    <xf numFmtId="0" fontId="15" fillId="2" borderId="1" xfId="0" applyFont="1" applyFill="1" applyBorder="1" applyAlignment="1">
      <alignment horizontal="right"/>
    </xf>
    <xf numFmtId="0" fontId="16" fillId="3" borderId="4" xfId="0" applyFont="1" applyFill="1" applyBorder="1" applyAlignment="1">
      <alignment horizontal="left" wrapText="1"/>
    </xf>
    <xf numFmtId="0" fontId="16" fillId="3" borderId="1" xfId="0" applyFont="1" applyFill="1" applyBorder="1" applyAlignment="1">
      <alignment horizontal="center"/>
    </xf>
    <xf numFmtId="0" fontId="16" fillId="3" borderId="1" xfId="0" applyFont="1" applyFill="1" applyBorder="1"/>
    <xf numFmtId="0" fontId="16" fillId="3" borderId="10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6" fillId="3" borderId="7" xfId="0" applyFont="1" applyFill="1" applyBorder="1"/>
    <xf numFmtId="49" fontId="16" fillId="3" borderId="7" xfId="0" applyNumberFormat="1" applyFont="1" applyFill="1" applyBorder="1"/>
    <xf numFmtId="0" fontId="16" fillId="3" borderId="8" xfId="0" applyFont="1" applyFill="1" applyBorder="1"/>
    <xf numFmtId="0" fontId="16" fillId="3" borderId="9" xfId="0" applyFont="1" applyFill="1" applyBorder="1"/>
    <xf numFmtId="0" fontId="16" fillId="3" borderId="1" xfId="0" applyFont="1" applyFill="1" applyBorder="1" applyAlignment="1">
      <alignment horizontal="right"/>
    </xf>
    <xf numFmtId="0" fontId="15" fillId="8" borderId="4" xfId="0" applyFont="1" applyFill="1" applyBorder="1" applyAlignment="1">
      <alignment horizontal="left" wrapText="1"/>
    </xf>
    <xf numFmtId="0" fontId="15" fillId="8" borderId="7" xfId="0" applyFont="1" applyFill="1" applyBorder="1"/>
    <xf numFmtId="49" fontId="15" fillId="8" borderId="7" xfId="0" applyNumberFormat="1" applyFont="1" applyFill="1" applyBorder="1"/>
    <xf numFmtId="0" fontId="15" fillId="8" borderId="8" xfId="0" applyFont="1" applyFill="1" applyBorder="1"/>
    <xf numFmtId="0" fontId="15" fillId="8" borderId="9" xfId="0" applyFont="1" applyFill="1" applyBorder="1"/>
    <xf numFmtId="0" fontId="37" fillId="5" borderId="4" xfId="0" applyFont="1" applyFill="1" applyBorder="1" applyAlignment="1">
      <alignment horizontal="left" wrapText="1"/>
    </xf>
    <xf numFmtId="0" fontId="37" fillId="5" borderId="1" xfId="0" applyFont="1" applyFill="1" applyBorder="1" applyAlignment="1">
      <alignment horizontal="center"/>
    </xf>
    <xf numFmtId="0" fontId="37" fillId="5" borderId="1" xfId="0" applyFont="1" applyFill="1" applyBorder="1"/>
    <xf numFmtId="0" fontId="37" fillId="5" borderId="10" xfId="0" applyFont="1" applyFill="1" applyBorder="1" applyAlignment="1">
      <alignment vertical="center" wrapText="1"/>
    </xf>
    <xf numFmtId="0" fontId="37" fillId="5" borderId="5" xfId="0" applyFont="1" applyFill="1" applyBorder="1" applyAlignment="1">
      <alignment vertical="center" wrapText="1"/>
    </xf>
    <xf numFmtId="0" fontId="37" fillId="5" borderId="1" xfId="0" applyFont="1" applyFill="1" applyBorder="1" applyAlignment="1">
      <alignment vertical="center" wrapText="1"/>
    </xf>
    <xf numFmtId="0" fontId="37" fillId="5" borderId="1" xfId="0" applyFont="1" applyFill="1" applyBorder="1" applyAlignment="1">
      <alignment horizontal="center" vertical="center" wrapText="1"/>
    </xf>
    <xf numFmtId="0" fontId="37" fillId="5" borderId="6" xfId="0" applyFont="1" applyFill="1" applyBorder="1" applyAlignment="1">
      <alignment horizontal="center" vertical="center" wrapText="1"/>
    </xf>
    <xf numFmtId="0" fontId="37" fillId="5" borderId="7" xfId="0" applyFont="1" applyFill="1" applyBorder="1"/>
    <xf numFmtId="49" fontId="37" fillId="5" borderId="7" xfId="0" applyNumberFormat="1" applyFont="1" applyFill="1" applyBorder="1"/>
    <xf numFmtId="0" fontId="37" fillId="5" borderId="8" xfId="0" applyFont="1" applyFill="1" applyBorder="1"/>
    <xf numFmtId="0" fontId="37" fillId="5" borderId="9" xfId="0" applyFont="1" applyFill="1" applyBorder="1"/>
    <xf numFmtId="0" fontId="37" fillId="5" borderId="1" xfId="0" applyFont="1" applyFill="1" applyBorder="1" applyAlignment="1">
      <alignment horizontal="right"/>
    </xf>
    <xf numFmtId="0" fontId="18" fillId="18" borderId="4" xfId="0" applyFont="1" applyFill="1" applyBorder="1" applyAlignment="1">
      <alignment horizontal="left" wrapText="1"/>
    </xf>
    <xf numFmtId="0" fontId="18" fillId="18" borderId="1" xfId="0" applyFont="1" applyFill="1" applyBorder="1" applyAlignment="1">
      <alignment horizontal="center"/>
    </xf>
    <xf numFmtId="0" fontId="18" fillId="18" borderId="1" xfId="0" applyFont="1" applyFill="1" applyBorder="1"/>
    <xf numFmtId="0" fontId="18" fillId="18" borderId="10" xfId="0" applyFont="1" applyFill="1" applyBorder="1" applyAlignment="1">
      <alignment vertical="center" wrapText="1"/>
    </xf>
    <xf numFmtId="0" fontId="18" fillId="18" borderId="5" xfId="0" applyFont="1" applyFill="1" applyBorder="1" applyAlignment="1">
      <alignment vertical="center" wrapText="1"/>
    </xf>
    <xf numFmtId="0" fontId="18" fillId="18" borderId="1" xfId="0" applyFont="1" applyFill="1" applyBorder="1" applyAlignment="1">
      <alignment vertical="center" wrapText="1"/>
    </xf>
    <xf numFmtId="0" fontId="18" fillId="18" borderId="1" xfId="0" applyFont="1" applyFill="1" applyBorder="1" applyAlignment="1">
      <alignment horizontal="center" vertical="center" wrapText="1"/>
    </xf>
    <xf numFmtId="0" fontId="18" fillId="18" borderId="6" xfId="0" applyFont="1" applyFill="1" applyBorder="1" applyAlignment="1">
      <alignment horizontal="center" vertical="center" wrapText="1"/>
    </xf>
    <xf numFmtId="0" fontId="18" fillId="18" borderId="7" xfId="0" applyFont="1" applyFill="1" applyBorder="1"/>
    <xf numFmtId="49" fontId="18" fillId="18" borderId="7" xfId="0" applyNumberFormat="1" applyFont="1" applyFill="1" applyBorder="1"/>
    <xf numFmtId="0" fontId="18" fillId="18" borderId="8" xfId="0" applyFont="1" applyFill="1" applyBorder="1"/>
    <xf numFmtId="0" fontId="18" fillId="18" borderId="1" xfId="0" applyFont="1" applyFill="1" applyBorder="1" applyAlignment="1">
      <alignment horizontal="right"/>
    </xf>
    <xf numFmtId="0" fontId="27" fillId="0" borderId="0" xfId="0" applyFont="1"/>
    <xf numFmtId="0" fontId="38" fillId="15" borderId="4" xfId="0" applyFont="1" applyFill="1" applyBorder="1" applyAlignment="1">
      <alignment horizontal="center" vertical="center" wrapText="1"/>
    </xf>
    <xf numFmtId="0" fontId="38" fillId="0" borderId="0" xfId="0" applyFont="1"/>
    <xf numFmtId="0" fontId="38" fillId="2" borderId="0" xfId="0" applyFont="1" applyFill="1"/>
    <xf numFmtId="0" fontId="38" fillId="15" borderId="1" xfId="0" applyFont="1" applyFill="1" applyBorder="1"/>
    <xf numFmtId="0" fontId="38" fillId="5" borderId="4" xfId="0" applyFont="1" applyFill="1" applyBorder="1" applyAlignment="1">
      <alignment horizontal="center" vertical="center" wrapText="1"/>
    </xf>
    <xf numFmtId="0" fontId="38" fillId="16" borderId="4" xfId="0" applyFont="1" applyFill="1" applyBorder="1" applyAlignment="1">
      <alignment horizontal="center" vertical="center" wrapText="1"/>
    </xf>
    <xf numFmtId="0" fontId="39" fillId="5" borderId="6" xfId="0" applyFont="1" applyFill="1" applyBorder="1" applyAlignment="1">
      <alignment vertical="center" wrapText="1"/>
    </xf>
    <xf numFmtId="0" fontId="36" fillId="7" borderId="6" xfId="0" applyFont="1" applyFill="1" applyBorder="1" applyAlignment="1">
      <alignment vertical="center" wrapText="1"/>
    </xf>
    <xf numFmtId="0" fontId="39" fillId="5" borderId="5" xfId="0" applyFont="1" applyFill="1" applyBorder="1" applyAlignment="1">
      <alignment vertical="center" wrapText="1"/>
    </xf>
    <xf numFmtId="0" fontId="18" fillId="15" borderId="16" xfId="0" applyFont="1" applyFill="1" applyBorder="1" applyAlignment="1">
      <alignment vertical="center" wrapText="1"/>
    </xf>
    <xf numFmtId="0" fontId="19" fillId="15" borderId="0" xfId="0" applyFont="1" applyFill="1"/>
    <xf numFmtId="0" fontId="0" fillId="0" borderId="0" xfId="0" applyAlignment="1">
      <alignment horizontal="right"/>
    </xf>
    <xf numFmtId="2" fontId="14" fillId="0" borderId="18" xfId="0" applyNumberFormat="1" applyFont="1" applyBorder="1"/>
    <xf numFmtId="2" fontId="14" fillId="0" borderId="19" xfId="0" applyNumberFormat="1" applyFont="1" applyBorder="1"/>
    <xf numFmtId="49" fontId="14" fillId="13" borderId="0" xfId="0" applyNumberFormat="1" applyFont="1" applyFill="1"/>
    <xf numFmtId="16" fontId="18" fillId="15" borderId="10" xfId="0" applyNumberFormat="1" applyFont="1" applyFill="1" applyBorder="1" applyAlignment="1">
      <alignment horizontal="left" vertical="center" wrapText="1"/>
    </xf>
    <xf numFmtId="0" fontId="17" fillId="0" borderId="0" xfId="0" applyFont="1"/>
    <xf numFmtId="2" fontId="14" fillId="0" borderId="11" xfId="0" applyNumberFormat="1" applyFont="1" applyBorder="1"/>
    <xf numFmtId="2" fontId="14" fillId="0" borderId="4" xfId="0" applyNumberFormat="1" applyFont="1" applyBorder="1"/>
    <xf numFmtId="2" fontId="0" fillId="0" borderId="18" xfId="0" applyNumberFormat="1" applyBorder="1" applyAlignment="1">
      <alignment horizontal="right"/>
    </xf>
    <xf numFmtId="2" fontId="0" fillId="0" borderId="19" xfId="0" applyNumberFormat="1" applyBorder="1" applyAlignment="1">
      <alignment horizontal="right"/>
    </xf>
    <xf numFmtId="0" fontId="17" fillId="0" borderId="0" xfId="0" applyFont="1" applyAlignment="1">
      <alignment horizontal="left"/>
    </xf>
    <xf numFmtId="0" fontId="15" fillId="2" borderId="6" xfId="0" applyFont="1" applyFill="1" applyBorder="1" applyAlignment="1">
      <alignment vertical="center" wrapText="1"/>
    </xf>
    <xf numFmtId="49" fontId="18" fillId="15" borderId="7" xfId="0" applyNumberFormat="1" applyFont="1" applyFill="1" applyBorder="1" applyAlignment="1">
      <alignment horizontal="center"/>
    </xf>
    <xf numFmtId="0" fontId="0" fillId="0" borderId="20" xfId="0" applyBorder="1"/>
    <xf numFmtId="16" fontId="18" fillId="16" borderId="1" xfId="0" applyNumberFormat="1" applyFont="1" applyFill="1" applyBorder="1" applyAlignment="1">
      <alignment horizontal="left" vertical="center" wrapText="1"/>
    </xf>
    <xf numFmtId="0" fontId="14" fillId="5" borderId="0" xfId="0" applyFont="1" applyFill="1"/>
    <xf numFmtId="0" fontId="14" fillId="16" borderId="0" xfId="0" applyFont="1" applyFill="1"/>
    <xf numFmtId="0" fontId="14" fillId="15" borderId="0" xfId="0" applyFont="1" applyFill="1"/>
    <xf numFmtId="2" fontId="14" fillId="0" borderId="18" xfId="0" applyNumberFormat="1" applyFont="1" applyBorder="1" applyAlignment="1">
      <alignment horizontal="right"/>
    </xf>
    <xf numFmtId="2" fontId="14" fillId="0" borderId="19" xfId="0" applyNumberFormat="1" applyFont="1" applyBorder="1" applyAlignment="1">
      <alignment horizontal="right"/>
    </xf>
    <xf numFmtId="0" fontId="18" fillId="9" borderId="6" xfId="0" applyFont="1" applyFill="1" applyBorder="1" applyAlignment="1">
      <alignment vertical="center" wrapText="1"/>
    </xf>
    <xf numFmtId="0" fontId="18" fillId="18" borderId="6" xfId="0" applyFont="1" applyFill="1" applyBorder="1" applyAlignment="1">
      <alignment vertical="center" wrapText="1"/>
    </xf>
    <xf numFmtId="0" fontId="16" fillId="3" borderId="6" xfId="0" applyFont="1" applyFill="1" applyBorder="1" applyAlignment="1">
      <alignment vertical="center" wrapText="1"/>
    </xf>
    <xf numFmtId="0" fontId="37" fillId="5" borderId="6" xfId="0" applyFont="1" applyFill="1" applyBorder="1" applyAlignment="1">
      <alignment vertical="center" wrapText="1"/>
    </xf>
    <xf numFmtId="1" fontId="9" fillId="0" borderId="0" xfId="0" applyNumberFormat="1" applyFont="1"/>
    <xf numFmtId="0" fontId="9" fillId="0" borderId="0" xfId="0" applyFont="1"/>
    <xf numFmtId="49" fontId="33" fillId="5" borderId="7" xfId="0" applyNumberFormat="1" applyFont="1" applyFill="1" applyBorder="1" applyAlignment="1">
      <alignment horizontal="center"/>
    </xf>
    <xf numFmtId="49" fontId="30" fillId="5" borderId="1" xfId="0" applyNumberFormat="1" applyFont="1" applyFill="1" applyBorder="1" applyAlignment="1">
      <alignment horizontal="center"/>
    </xf>
    <xf numFmtId="0" fontId="16" fillId="20" borderId="0" xfId="0" applyFont="1" applyFill="1" applyAlignment="1">
      <alignment vertical="center" wrapText="1"/>
    </xf>
    <xf numFmtId="0" fontId="14" fillId="0" borderId="0" xfId="0" applyFont="1" applyAlignment="1">
      <alignment horizontal="right"/>
    </xf>
    <xf numFmtId="14" fontId="14" fillId="0" borderId="0" xfId="0" applyNumberFormat="1" applyFont="1" applyAlignment="1">
      <alignment horizontal="right"/>
    </xf>
    <xf numFmtId="0" fontId="22" fillId="2" borderId="0" xfId="0" applyFont="1" applyFill="1" applyAlignment="1">
      <alignment horizontal="center" vertical="center" wrapText="1"/>
    </xf>
    <xf numFmtId="0" fontId="16" fillId="2" borderId="0" xfId="0" applyFont="1" applyFill="1"/>
    <xf numFmtId="0" fontId="41" fillId="2" borderId="0" xfId="0" applyFont="1" applyFill="1" applyAlignment="1">
      <alignment horizontal="center" vertical="center" wrapText="1"/>
    </xf>
    <xf numFmtId="0" fontId="13" fillId="0" borderId="0" xfId="0" applyFont="1"/>
    <xf numFmtId="0" fontId="40" fillId="0" borderId="0" xfId="0" applyFont="1" applyAlignment="1">
      <alignment horizontal="left"/>
    </xf>
    <xf numFmtId="49" fontId="32" fillId="16" borderId="7" xfId="0" applyNumberFormat="1" applyFont="1" applyFill="1" applyBorder="1" applyAlignment="1">
      <alignment horizontal="center"/>
    </xf>
    <xf numFmtId="0" fontId="8" fillId="0" borderId="0" xfId="0" applyFont="1"/>
    <xf numFmtId="16" fontId="18" fillId="5" borderId="10" xfId="0" applyNumberFormat="1" applyFont="1" applyFill="1" applyBorder="1" applyAlignment="1">
      <alignment horizontal="left" vertical="center" wrapText="1"/>
    </xf>
    <xf numFmtId="0" fontId="19" fillId="16" borderId="1" xfId="0" applyFont="1" applyFill="1" applyBorder="1" applyAlignment="1">
      <alignment horizontal="right"/>
    </xf>
    <xf numFmtId="0" fontId="19" fillId="16" borderId="4" xfId="0" applyFont="1" applyFill="1" applyBorder="1" applyAlignment="1">
      <alignment horizontal="right"/>
    </xf>
    <xf numFmtId="0" fontId="19" fillId="15" borderId="1" xfId="0" applyFont="1" applyFill="1" applyBorder="1" applyAlignment="1">
      <alignment horizontal="right"/>
    </xf>
    <xf numFmtId="0" fontId="19" fillId="15" borderId="4" xfId="0" applyFont="1" applyFill="1" applyBorder="1" applyAlignment="1">
      <alignment horizontal="right"/>
    </xf>
    <xf numFmtId="0" fontId="19" fillId="15" borderId="4" xfId="0" applyFont="1" applyFill="1" applyBorder="1"/>
    <xf numFmtId="0" fontId="19" fillId="5" borderId="4" xfId="0" applyFont="1" applyFill="1" applyBorder="1"/>
    <xf numFmtId="0" fontId="14" fillId="10" borderId="1" xfId="0" applyFont="1" applyFill="1" applyBorder="1"/>
    <xf numFmtId="0" fontId="42" fillId="0" borderId="0" xfId="0" applyFont="1"/>
    <xf numFmtId="16" fontId="17" fillId="0" borderId="0" xfId="0" applyNumberFormat="1" applyFont="1"/>
    <xf numFmtId="1" fontId="17" fillId="0" borderId="0" xfId="0" applyNumberFormat="1" applyFont="1" applyAlignment="1">
      <alignment horizontal="right"/>
    </xf>
    <xf numFmtId="1" fontId="42" fillId="0" borderId="0" xfId="0" applyNumberFormat="1" applyFont="1" applyAlignment="1">
      <alignment horizontal="right"/>
    </xf>
    <xf numFmtId="1" fontId="42" fillId="0" borderId="0" xfId="0" applyNumberFormat="1" applyFont="1"/>
    <xf numFmtId="16" fontId="18" fillId="2" borderId="0" xfId="0" applyNumberFormat="1" applyFont="1" applyFill="1" applyAlignment="1">
      <alignment horizontal="left" vertical="center" wrapText="1"/>
    </xf>
    <xf numFmtId="0" fontId="18" fillId="15" borderId="1" xfId="0" applyFont="1" applyFill="1" applyBorder="1" applyAlignment="1">
      <alignment horizontal="center"/>
    </xf>
    <xf numFmtId="0" fontId="18" fillId="15" borderId="4" xfId="0" applyFont="1" applyFill="1" applyBorder="1" applyAlignment="1">
      <alignment horizontal="center"/>
    </xf>
    <xf numFmtId="0" fontId="18" fillId="15" borderId="9" xfId="0" applyFont="1" applyFill="1" applyBorder="1"/>
    <xf numFmtId="0" fontId="18" fillId="5" borderId="1" xfId="0" applyFont="1" applyFill="1" applyBorder="1" applyAlignment="1">
      <alignment horizontal="center"/>
    </xf>
    <xf numFmtId="0" fontId="18" fillId="5" borderId="4" xfId="0" applyFont="1" applyFill="1" applyBorder="1" applyAlignment="1">
      <alignment horizontal="center"/>
    </xf>
    <xf numFmtId="0" fontId="18" fillId="16" borderId="1" xfId="0" applyFont="1" applyFill="1" applyBorder="1" applyAlignment="1">
      <alignment horizontal="center"/>
    </xf>
    <xf numFmtId="0" fontId="18" fillId="16" borderId="4" xfId="0" applyFont="1" applyFill="1" applyBorder="1" applyAlignment="1">
      <alignment horizontal="center"/>
    </xf>
    <xf numFmtId="16" fontId="18" fillId="16" borderId="2" xfId="0" applyNumberFormat="1" applyFont="1" applyFill="1" applyBorder="1" applyAlignment="1">
      <alignment horizontal="left" vertical="center" wrapText="1"/>
    </xf>
    <xf numFmtId="49" fontId="32" fillId="16" borderId="1" xfId="0" applyNumberFormat="1" applyFont="1" applyFill="1" applyBorder="1" applyAlignment="1">
      <alignment horizontal="center"/>
    </xf>
    <xf numFmtId="0" fontId="23" fillId="13" borderId="0" xfId="0" applyFont="1" applyFill="1" applyAlignment="1">
      <alignment vertical="center"/>
    </xf>
    <xf numFmtId="0" fontId="16" fillId="2" borderId="6" xfId="0" applyFont="1" applyFill="1" applyBorder="1" applyAlignment="1">
      <alignment vertical="center" wrapText="1"/>
    </xf>
    <xf numFmtId="0" fontId="26" fillId="3" borderId="6" xfId="0" applyFont="1" applyFill="1" applyBorder="1" applyAlignment="1">
      <alignment vertical="center" wrapText="1"/>
    </xf>
    <xf numFmtId="0" fontId="16" fillId="2" borderId="0" xfId="0" applyFont="1" applyFill="1" applyAlignment="1">
      <alignment horizontal="right" vertical="center" wrapText="1"/>
    </xf>
    <xf numFmtId="49" fontId="31" fillId="15" borderId="1" xfId="0" applyNumberFormat="1" applyFont="1" applyFill="1" applyBorder="1" applyAlignment="1">
      <alignment horizontal="center"/>
    </xf>
    <xf numFmtId="0" fontId="18" fillId="16" borderId="1" xfId="0" applyFont="1" applyFill="1" applyBorder="1" applyAlignment="1">
      <alignment horizontal="center" vertical="center" wrapText="1"/>
    </xf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1" fontId="8" fillId="0" borderId="0" xfId="0" applyNumberFormat="1" applyFont="1"/>
    <xf numFmtId="0" fontId="24" fillId="2" borderId="0" xfId="0" applyFont="1" applyFill="1" applyAlignment="1">
      <alignment vertical="center"/>
    </xf>
    <xf numFmtId="0" fontId="0" fillId="2" borderId="0" xfId="0" applyFill="1" applyAlignment="1">
      <alignment horizontal="right"/>
    </xf>
    <xf numFmtId="0" fontId="19" fillId="15" borderId="6" xfId="0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0" fontId="19" fillId="16" borderId="6" xfId="0" applyFont="1" applyFill="1" applyBorder="1" applyAlignment="1">
      <alignment horizontal="center" vertical="center" wrapText="1"/>
    </xf>
    <xf numFmtId="49" fontId="32" fillId="15" borderId="7" xfId="0" applyNumberFormat="1" applyFont="1" applyFill="1" applyBorder="1" applyAlignment="1">
      <alignment horizontal="center"/>
    </xf>
    <xf numFmtId="0" fontId="18" fillId="16" borderId="4" xfId="0" applyFont="1" applyFill="1" applyBorder="1" applyAlignment="1">
      <alignment vertical="center" wrapText="1"/>
    </xf>
    <xf numFmtId="0" fontId="19" fillId="5" borderId="2" xfId="0" applyFont="1" applyFill="1" applyBorder="1"/>
    <xf numFmtId="0" fontId="19" fillId="16" borderId="25" xfId="0" applyFont="1" applyFill="1" applyBorder="1"/>
    <xf numFmtId="0" fontId="19" fillId="5" borderId="25" xfId="0" applyFont="1" applyFill="1" applyBorder="1"/>
    <xf numFmtId="0" fontId="19" fillId="15" borderId="25" xfId="0" applyFont="1" applyFill="1" applyBorder="1"/>
    <xf numFmtId="49" fontId="31" fillId="16" borderId="1" xfId="0" applyNumberFormat="1" applyFont="1" applyFill="1" applyBorder="1" applyAlignment="1">
      <alignment horizontal="center"/>
    </xf>
    <xf numFmtId="0" fontId="19" fillId="16" borderId="4" xfId="0" applyFont="1" applyFill="1" applyBorder="1" applyAlignment="1">
      <alignment horizontal="center" vertical="center" wrapText="1"/>
    </xf>
    <xf numFmtId="49" fontId="19" fillId="2" borderId="8" xfId="0" applyNumberFormat="1" applyFont="1" applyFill="1" applyBorder="1" applyAlignment="1">
      <alignment horizontal="center"/>
    </xf>
    <xf numFmtId="0" fontId="19" fillId="2" borderId="9" xfId="0" applyFont="1" applyFill="1" applyBorder="1"/>
    <xf numFmtId="0" fontId="19" fillId="2" borderId="25" xfId="0" applyFont="1" applyFill="1" applyBorder="1"/>
    <xf numFmtId="0" fontId="18" fillId="9" borderId="4" xfId="0" applyFont="1" applyFill="1" applyBorder="1"/>
    <xf numFmtId="0" fontId="19" fillId="9" borderId="25" xfId="0" applyFont="1" applyFill="1" applyBorder="1"/>
    <xf numFmtId="0" fontId="19" fillId="15" borderId="13" xfId="0" applyFont="1" applyFill="1" applyBorder="1"/>
    <xf numFmtId="0" fontId="18" fillId="18" borderId="25" xfId="0" applyFont="1" applyFill="1" applyBorder="1"/>
    <xf numFmtId="0" fontId="19" fillId="15" borderId="1" xfId="0" applyFont="1" applyFill="1" applyBorder="1" applyAlignment="1">
      <alignment horizontal="center" vertical="center" wrapText="1"/>
    </xf>
    <xf numFmtId="0" fontId="19" fillId="15" borderId="2" xfId="0" applyFont="1" applyFill="1" applyBorder="1"/>
    <xf numFmtId="0" fontId="26" fillId="3" borderId="5" xfId="0" applyFont="1" applyFill="1" applyBorder="1" applyAlignment="1">
      <alignment vertical="center" wrapText="1"/>
    </xf>
    <xf numFmtId="0" fontId="27" fillId="15" borderId="5" xfId="0" applyFont="1" applyFill="1" applyBorder="1"/>
    <xf numFmtId="0" fontId="16" fillId="2" borderId="25" xfId="0" applyFont="1" applyFill="1" applyBorder="1"/>
    <xf numFmtId="49" fontId="33" fillId="16" borderId="1" xfId="0" applyNumberFormat="1" applyFont="1" applyFill="1" applyBorder="1" applyAlignment="1">
      <alignment horizontal="center"/>
    </xf>
    <xf numFmtId="0" fontId="18" fillId="16" borderId="16" xfId="0" applyFont="1" applyFill="1" applyBorder="1" applyAlignment="1">
      <alignment vertical="center" wrapText="1"/>
    </xf>
    <xf numFmtId="0" fontId="29" fillId="0" borderId="1" xfId="0" applyFont="1" applyBorder="1" applyAlignment="1">
      <alignment vertical="center" wrapText="1"/>
    </xf>
    <xf numFmtId="0" fontId="29" fillId="0" borderId="4" xfId="0" applyFont="1" applyBorder="1" applyAlignment="1">
      <alignment horizontal="center" vertical="center" wrapText="1"/>
    </xf>
    <xf numFmtId="0" fontId="43" fillId="0" borderId="4" xfId="0" applyFont="1" applyBorder="1" applyAlignment="1">
      <alignment horizontal="center" vertical="center" wrapText="1"/>
    </xf>
    <xf numFmtId="0" fontId="43" fillId="14" borderId="5" xfId="0" applyFont="1" applyFill="1" applyBorder="1" applyAlignment="1">
      <alignment horizontal="right" vertical="center" wrapText="1"/>
    </xf>
    <xf numFmtId="0" fontId="44" fillId="14" borderId="6" xfId="0" applyFont="1" applyFill="1" applyBorder="1" applyAlignment="1">
      <alignment vertical="center" wrapText="1"/>
    </xf>
    <xf numFmtId="0" fontId="29" fillId="14" borderId="6" xfId="0" applyFont="1" applyFill="1" applyBorder="1" applyAlignment="1">
      <alignment horizontal="right" vertical="center" wrapText="1"/>
    </xf>
    <xf numFmtId="0" fontId="43" fillId="14" borderId="6" xfId="0" applyFont="1" applyFill="1" applyBorder="1" applyAlignment="1">
      <alignment horizontal="right" vertical="center" wrapText="1"/>
    </xf>
    <xf numFmtId="0" fontId="45" fillId="8" borderId="6" xfId="0" applyFont="1" applyFill="1" applyBorder="1" applyAlignment="1">
      <alignment vertical="center" wrapText="1"/>
    </xf>
    <xf numFmtId="0" fontId="45" fillId="3" borderId="6" xfId="0" applyFont="1" applyFill="1" applyBorder="1" applyAlignment="1">
      <alignment vertical="center" wrapText="1"/>
    </xf>
    <xf numFmtId="0" fontId="45" fillId="6" borderId="6" xfId="0" applyFont="1" applyFill="1" applyBorder="1" applyAlignment="1">
      <alignment vertical="center" wrapText="1"/>
    </xf>
    <xf numFmtId="0" fontId="45" fillId="9" borderId="6" xfId="0" applyFont="1" applyFill="1" applyBorder="1" applyAlignment="1">
      <alignment vertical="center" wrapText="1"/>
    </xf>
    <xf numFmtId="1" fontId="7" fillId="0" borderId="0" xfId="0" applyNumberFormat="1" applyFont="1"/>
    <xf numFmtId="0" fontId="7" fillId="0" borderId="0" xfId="0" applyFont="1"/>
    <xf numFmtId="0" fontId="27" fillId="3" borderId="4" xfId="0" applyFont="1" applyFill="1" applyBorder="1" applyAlignment="1">
      <alignment horizontal="left" wrapText="1"/>
    </xf>
    <xf numFmtId="0" fontId="27" fillId="3" borderId="1" xfId="0" applyFont="1" applyFill="1" applyBorder="1" applyAlignment="1">
      <alignment horizontal="center"/>
    </xf>
    <xf numFmtId="0" fontId="27" fillId="3" borderId="1" xfId="0" applyFont="1" applyFill="1" applyBorder="1"/>
    <xf numFmtId="0" fontId="27" fillId="3" borderId="10" xfId="0" applyFont="1" applyFill="1" applyBorder="1" applyAlignment="1">
      <alignment vertical="center" wrapText="1"/>
    </xf>
    <xf numFmtId="0" fontId="27" fillId="3" borderId="5" xfId="0" applyFont="1" applyFill="1" applyBorder="1" applyAlignment="1">
      <alignment vertical="center" wrapText="1"/>
    </xf>
    <xf numFmtId="0" fontId="27" fillId="3" borderId="1" xfId="0" applyFont="1" applyFill="1" applyBorder="1" applyAlignment="1">
      <alignment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27" fillId="3" borderId="6" xfId="0" applyFont="1" applyFill="1" applyBorder="1" applyAlignment="1">
      <alignment horizontal="center" vertical="center" wrapText="1"/>
    </xf>
    <xf numFmtId="49" fontId="27" fillId="3" borderId="7" xfId="0" applyNumberFormat="1" applyFont="1" applyFill="1" applyBorder="1"/>
    <xf numFmtId="0" fontId="27" fillId="3" borderId="8" xfId="0" applyFont="1" applyFill="1" applyBorder="1"/>
    <xf numFmtId="0" fontId="27" fillId="3" borderId="7" xfId="0" applyFont="1" applyFill="1" applyBorder="1"/>
    <xf numFmtId="0" fontId="27" fillId="3" borderId="9" xfId="0" applyFont="1" applyFill="1" applyBorder="1"/>
    <xf numFmtId="0" fontId="27" fillId="3" borderId="1" xfId="0" applyFont="1" applyFill="1" applyBorder="1" applyAlignment="1">
      <alignment horizontal="right"/>
    </xf>
    <xf numFmtId="0" fontId="34" fillId="15" borderId="4" xfId="0" applyFont="1" applyFill="1" applyBorder="1" applyAlignment="1">
      <alignment horizontal="center" vertical="center" wrapText="1"/>
    </xf>
    <xf numFmtId="0" fontId="34" fillId="0" borderId="0" xfId="0" applyFont="1"/>
    <xf numFmtId="0" fontId="34" fillId="2" borderId="0" xfId="0" applyFont="1" applyFill="1"/>
    <xf numFmtId="0" fontId="34" fillId="15" borderId="1" xfId="0" applyFont="1" applyFill="1" applyBorder="1"/>
    <xf numFmtId="0" fontId="34" fillId="5" borderId="4" xfId="0" applyFont="1" applyFill="1" applyBorder="1" applyAlignment="1">
      <alignment horizontal="center" vertical="center" wrapText="1"/>
    </xf>
    <xf numFmtId="0" fontId="34" fillId="16" borderId="4" xfId="0" applyFont="1" applyFill="1" applyBorder="1" applyAlignment="1">
      <alignment horizontal="center" vertical="center" wrapText="1"/>
    </xf>
    <xf numFmtId="0" fontId="34" fillId="15" borderId="1" xfId="0" applyFont="1" applyFill="1" applyBorder="1" applyAlignment="1">
      <alignment horizontal="center" vertical="center" wrapText="1"/>
    </xf>
    <xf numFmtId="0" fontId="46" fillId="0" borderId="0" xfId="0" applyFont="1"/>
    <xf numFmtId="0" fontId="34" fillId="5" borderId="1" xfId="0" applyFont="1" applyFill="1" applyBorder="1" applyAlignment="1">
      <alignment horizontal="center" vertical="center" wrapText="1"/>
    </xf>
    <xf numFmtId="0" fontId="34" fillId="16" borderId="1" xfId="0" applyFont="1" applyFill="1" applyBorder="1" applyAlignment="1">
      <alignment horizontal="center" vertical="center" wrapText="1"/>
    </xf>
    <xf numFmtId="0" fontId="34" fillId="15" borderId="5" xfId="0" applyFont="1" applyFill="1" applyBorder="1"/>
    <xf numFmtId="0" fontId="23" fillId="0" borderId="4" xfId="0" applyFont="1" applyBorder="1" applyAlignment="1">
      <alignment horizontal="center" vertical="center" wrapText="1"/>
    </xf>
    <xf numFmtId="0" fontId="23" fillId="14" borderId="5" xfId="0" applyFont="1" applyFill="1" applyBorder="1" applyAlignment="1">
      <alignment horizontal="right" vertical="center" wrapText="1"/>
    </xf>
    <xf numFmtId="0" fontId="25" fillId="14" borderId="6" xfId="0" applyFont="1" applyFill="1" applyBorder="1" applyAlignment="1">
      <alignment vertical="center" wrapText="1"/>
    </xf>
    <xf numFmtId="0" fontId="24" fillId="14" borderId="6" xfId="0" applyFont="1" applyFill="1" applyBorder="1" applyAlignment="1">
      <alignment horizontal="right" vertical="center" wrapText="1"/>
    </xf>
    <xf numFmtId="0" fontId="23" fillId="14" borderId="6" xfId="0" applyFont="1" applyFill="1" applyBorder="1" applyAlignment="1">
      <alignment horizontal="right" vertical="center" wrapText="1"/>
    </xf>
    <xf numFmtId="0" fontId="47" fillId="8" borderId="6" xfId="0" applyFont="1" applyFill="1" applyBorder="1" applyAlignment="1">
      <alignment vertical="center" wrapText="1"/>
    </xf>
    <xf numFmtId="0" fontId="47" fillId="6" borderId="6" xfId="0" applyFont="1" applyFill="1" applyBorder="1" applyAlignment="1">
      <alignment vertical="center" wrapText="1"/>
    </xf>
    <xf numFmtId="0" fontId="47" fillId="9" borderId="6" xfId="0" applyFont="1" applyFill="1" applyBorder="1" applyAlignment="1">
      <alignment vertical="center" wrapText="1"/>
    </xf>
    <xf numFmtId="0" fontId="47" fillId="3" borderId="6" xfId="0" applyFont="1" applyFill="1" applyBorder="1" applyAlignment="1">
      <alignment vertical="center" wrapText="1"/>
    </xf>
    <xf numFmtId="0" fontId="18" fillId="5" borderId="10" xfId="0" applyFont="1" applyFill="1" applyBorder="1" applyAlignment="1">
      <alignment vertical="center" wrapText="1"/>
    </xf>
    <xf numFmtId="0" fontId="18" fillId="5" borderId="5" xfId="0" applyFont="1" applyFill="1" applyBorder="1" applyAlignment="1">
      <alignment vertical="center" wrapText="1"/>
    </xf>
    <xf numFmtId="49" fontId="19" fillId="5" borderId="7" xfId="0" applyNumberFormat="1" applyFont="1" applyFill="1" applyBorder="1" applyAlignment="1">
      <alignment horizontal="center"/>
    </xf>
    <xf numFmtId="0" fontId="49" fillId="0" borderId="0" xfId="0" applyFont="1"/>
    <xf numFmtId="0" fontId="49" fillId="2" borderId="0" xfId="0" applyFont="1" applyFill="1"/>
    <xf numFmtId="0" fontId="49" fillId="15" borderId="5" xfId="0" applyFont="1" applyFill="1" applyBorder="1"/>
    <xf numFmtId="0" fontId="49" fillId="15" borderId="1" xfId="0" applyFont="1" applyFill="1" applyBorder="1" applyAlignment="1">
      <alignment horizontal="center" vertical="center" wrapText="1"/>
    </xf>
    <xf numFmtId="0" fontId="49" fillId="15" borderId="1" xfId="0" applyFont="1" applyFill="1" applyBorder="1"/>
    <xf numFmtId="0" fontId="49" fillId="5" borderId="1" xfId="0" applyFont="1" applyFill="1" applyBorder="1" applyAlignment="1">
      <alignment horizontal="center" vertical="center" wrapText="1"/>
    </xf>
    <xf numFmtId="0" fontId="49" fillId="16" borderId="1" xfId="0" applyFont="1" applyFill="1" applyBorder="1" applyAlignment="1">
      <alignment horizontal="center" vertical="center" wrapText="1"/>
    </xf>
    <xf numFmtId="0" fontId="50" fillId="15" borderId="2" xfId="0" applyFont="1" applyFill="1" applyBorder="1" applyAlignment="1">
      <alignment horizontal="left" vertical="center" wrapText="1"/>
    </xf>
    <xf numFmtId="0" fontId="50" fillId="15" borderId="3" xfId="0" applyFont="1" applyFill="1" applyBorder="1" applyAlignment="1">
      <alignment horizontal="left" vertical="center" wrapText="1"/>
    </xf>
    <xf numFmtId="0" fontId="50" fillId="15" borderId="4" xfId="0" applyFont="1" applyFill="1" applyBorder="1" applyAlignment="1">
      <alignment horizontal="left" vertical="center" wrapText="1"/>
    </xf>
    <xf numFmtId="0" fontId="50" fillId="15" borderId="4" xfId="0" applyFont="1" applyFill="1" applyBorder="1" applyAlignment="1">
      <alignment horizontal="center" vertical="center" wrapText="1"/>
    </xf>
    <xf numFmtId="0" fontId="50" fillId="0" borderId="0" xfId="0" applyFont="1"/>
    <xf numFmtId="0" fontId="50" fillId="2" borderId="0" xfId="0" applyFont="1" applyFill="1"/>
    <xf numFmtId="0" fontId="50" fillId="15" borderId="1" xfId="0" applyFont="1" applyFill="1" applyBorder="1"/>
    <xf numFmtId="0" fontId="50" fillId="5" borderId="4" xfId="0" applyFont="1" applyFill="1" applyBorder="1" applyAlignment="1">
      <alignment horizontal="center" vertical="center" wrapText="1"/>
    </xf>
    <xf numFmtId="0" fontId="50" fillId="16" borderId="4" xfId="0" applyFont="1" applyFill="1" applyBorder="1" applyAlignment="1">
      <alignment horizontal="center" vertical="center" wrapText="1"/>
    </xf>
    <xf numFmtId="0" fontId="51" fillId="0" borderId="0" xfId="0" applyFont="1"/>
    <xf numFmtId="0" fontId="50" fillId="15" borderId="5" xfId="0" applyFont="1" applyFill="1" applyBorder="1"/>
    <xf numFmtId="0" fontId="51" fillId="15" borderId="3" xfId="0" applyFont="1" applyFill="1" applyBorder="1" applyAlignment="1">
      <alignment horizontal="left" vertical="center" wrapText="1"/>
    </xf>
    <xf numFmtId="0" fontId="51" fillId="15" borderId="4" xfId="0" applyFont="1" applyFill="1" applyBorder="1" applyAlignment="1">
      <alignment horizontal="left" vertical="center" wrapText="1"/>
    </xf>
    <xf numFmtId="0" fontId="50" fillId="15" borderId="1" xfId="0" applyFont="1" applyFill="1" applyBorder="1" applyAlignment="1">
      <alignment horizontal="center" vertical="center" wrapText="1"/>
    </xf>
    <xf numFmtId="0" fontId="50" fillId="2" borderId="13" xfId="0" applyFont="1" applyFill="1" applyBorder="1"/>
    <xf numFmtId="0" fontId="50" fillId="5" borderId="1" xfId="0" applyFont="1" applyFill="1" applyBorder="1" applyAlignment="1">
      <alignment horizontal="center" vertical="center" wrapText="1"/>
    </xf>
    <xf numFmtId="0" fontId="50" fillId="16" borderId="1" xfId="0" applyFont="1" applyFill="1" applyBorder="1" applyAlignment="1">
      <alignment horizontal="center" vertical="center" wrapText="1"/>
    </xf>
    <xf numFmtId="0" fontId="50" fillId="15" borderId="5" xfId="0" applyFont="1" applyFill="1" applyBorder="1" applyAlignment="1">
      <alignment horizontal="center" vertical="center" wrapText="1"/>
    </xf>
    <xf numFmtId="0" fontId="50" fillId="5" borderId="5" xfId="0" applyFont="1" applyFill="1" applyBorder="1" applyAlignment="1">
      <alignment horizontal="center" vertical="center" wrapText="1"/>
    </xf>
    <xf numFmtId="0" fontId="50" fillId="16" borderId="5" xfId="0" applyFont="1" applyFill="1" applyBorder="1" applyAlignment="1">
      <alignment horizontal="center" vertical="center" wrapText="1"/>
    </xf>
    <xf numFmtId="0" fontId="52" fillId="0" borderId="0" xfId="0" applyFont="1"/>
    <xf numFmtId="0" fontId="52" fillId="2" borderId="0" xfId="0" applyFont="1" applyFill="1"/>
    <xf numFmtId="0" fontId="48" fillId="8" borderId="6" xfId="0" applyFont="1" applyFill="1" applyBorder="1" applyAlignment="1">
      <alignment vertical="center" wrapText="1"/>
    </xf>
    <xf numFmtId="0" fontId="18" fillId="21" borderId="6" xfId="0" applyFont="1" applyFill="1" applyBorder="1" applyAlignment="1">
      <alignment vertical="center" wrapText="1"/>
    </xf>
    <xf numFmtId="0" fontId="16" fillId="21" borderId="6" xfId="0" applyFont="1" applyFill="1" applyBorder="1" applyAlignment="1">
      <alignment vertical="center" wrapText="1"/>
    </xf>
    <xf numFmtId="0" fontId="48" fillId="2" borderId="6" xfId="0" applyFont="1" applyFill="1" applyBorder="1" applyAlignment="1">
      <alignment vertical="center" wrapText="1"/>
    </xf>
    <xf numFmtId="0" fontId="27" fillId="21" borderId="6" xfId="0" applyFont="1" applyFill="1" applyBorder="1" applyAlignment="1">
      <alignment vertical="center" wrapText="1"/>
    </xf>
    <xf numFmtId="0" fontId="36" fillId="19" borderId="6" xfId="0" applyFont="1" applyFill="1" applyBorder="1" applyAlignment="1">
      <alignment vertical="center" wrapText="1"/>
    </xf>
    <xf numFmtId="0" fontId="36" fillId="19" borderId="5" xfId="0" applyFont="1" applyFill="1" applyBorder="1" applyAlignment="1">
      <alignment vertical="center" wrapText="1"/>
    </xf>
    <xf numFmtId="0" fontId="36" fillId="19" borderId="4" xfId="0" applyFont="1" applyFill="1" applyBorder="1" applyAlignment="1">
      <alignment horizontal="left" wrapText="1"/>
    </xf>
    <xf numFmtId="0" fontId="36" fillId="19" borderId="1" xfId="0" applyFont="1" applyFill="1" applyBorder="1" applyAlignment="1">
      <alignment horizontal="center"/>
    </xf>
    <xf numFmtId="0" fontId="36" fillId="19" borderId="1" xfId="0" applyFont="1" applyFill="1" applyBorder="1"/>
    <xf numFmtId="0" fontId="36" fillId="19" borderId="10" xfId="0" applyFont="1" applyFill="1" applyBorder="1" applyAlignment="1">
      <alignment vertical="center" wrapText="1"/>
    </xf>
    <xf numFmtId="0" fontId="36" fillId="19" borderId="1" xfId="0" applyFont="1" applyFill="1" applyBorder="1" applyAlignment="1">
      <alignment vertical="center" wrapText="1"/>
    </xf>
    <xf numFmtId="0" fontId="36" fillId="19" borderId="1" xfId="0" applyFont="1" applyFill="1" applyBorder="1" applyAlignment="1">
      <alignment horizontal="center" vertical="center" wrapText="1"/>
    </xf>
    <xf numFmtId="0" fontId="36" fillId="19" borderId="6" xfId="0" applyFont="1" applyFill="1" applyBorder="1" applyAlignment="1">
      <alignment horizontal="center" vertical="center" wrapText="1"/>
    </xf>
    <xf numFmtId="49" fontId="36" fillId="19" borderId="7" xfId="0" applyNumberFormat="1" applyFont="1" applyFill="1" applyBorder="1"/>
    <xf numFmtId="0" fontId="36" fillId="19" borderId="8" xfId="0" applyFont="1" applyFill="1" applyBorder="1"/>
    <xf numFmtId="0" fontId="36" fillId="19" borderId="7" xfId="0" applyFont="1" applyFill="1" applyBorder="1"/>
    <xf numFmtId="0" fontId="36" fillId="19" borderId="25" xfId="0" applyFont="1" applyFill="1" applyBorder="1"/>
    <xf numFmtId="0" fontId="36" fillId="19" borderId="1" xfId="0" applyFont="1" applyFill="1" applyBorder="1" applyAlignment="1">
      <alignment horizontal="right"/>
    </xf>
    <xf numFmtId="0" fontId="18" fillId="9" borderId="4" xfId="0" applyFont="1" applyFill="1" applyBorder="1" applyAlignment="1">
      <alignment horizontal="left" wrapText="1"/>
    </xf>
    <xf numFmtId="49" fontId="18" fillId="9" borderId="7" xfId="0" applyNumberFormat="1" applyFont="1" applyFill="1" applyBorder="1"/>
    <xf numFmtId="0" fontId="18" fillId="9" borderId="8" xfId="0" applyFont="1" applyFill="1" applyBorder="1"/>
    <xf numFmtId="0" fontId="18" fillId="9" borderId="7" xfId="0" applyFont="1" applyFill="1" applyBorder="1"/>
    <xf numFmtId="0" fontId="18" fillId="9" borderId="9" xfId="0" applyFont="1" applyFill="1" applyBorder="1"/>
    <xf numFmtId="16" fontId="18" fillId="16" borderId="10" xfId="0" applyNumberFormat="1" applyFont="1" applyFill="1" applyBorder="1" applyAlignment="1">
      <alignment horizontal="left" vertical="center" wrapText="1"/>
    </xf>
    <xf numFmtId="0" fontId="53" fillId="7" borderId="4" xfId="0" applyFont="1" applyFill="1" applyBorder="1" applyAlignment="1">
      <alignment horizontal="left" wrapText="1"/>
    </xf>
    <xf numFmtId="0" fontId="53" fillId="7" borderId="1" xfId="0" applyFont="1" applyFill="1" applyBorder="1" applyAlignment="1">
      <alignment horizontal="center"/>
    </xf>
    <xf numFmtId="0" fontId="53" fillId="7" borderId="1" xfId="0" applyFont="1" applyFill="1" applyBorder="1"/>
    <xf numFmtId="0" fontId="53" fillId="7" borderId="10" xfId="0" applyFont="1" applyFill="1" applyBorder="1" applyAlignment="1">
      <alignment vertical="center" wrapText="1"/>
    </xf>
    <xf numFmtId="0" fontId="53" fillId="7" borderId="5" xfId="0" applyFont="1" applyFill="1" applyBorder="1" applyAlignment="1">
      <alignment vertical="center" wrapText="1"/>
    </xf>
    <xf numFmtId="0" fontId="53" fillId="7" borderId="1" xfId="0" applyFont="1" applyFill="1" applyBorder="1" applyAlignment="1">
      <alignment vertical="center" wrapText="1"/>
    </xf>
    <xf numFmtId="0" fontId="53" fillId="7" borderId="1" xfId="0" applyFont="1" applyFill="1" applyBorder="1" applyAlignment="1">
      <alignment horizontal="center" vertical="center" wrapText="1"/>
    </xf>
    <xf numFmtId="0" fontId="53" fillId="7" borderId="6" xfId="0" applyFont="1" applyFill="1" applyBorder="1" applyAlignment="1">
      <alignment horizontal="center" vertical="center" wrapText="1"/>
    </xf>
    <xf numFmtId="49" fontId="53" fillId="7" borderId="7" xfId="0" applyNumberFormat="1" applyFont="1" applyFill="1" applyBorder="1"/>
    <xf numFmtId="0" fontId="53" fillId="7" borderId="8" xfId="0" applyFont="1" applyFill="1" applyBorder="1"/>
    <xf numFmtId="0" fontId="53" fillId="7" borderId="7" xfId="0" applyFont="1" applyFill="1" applyBorder="1"/>
    <xf numFmtId="0" fontId="53" fillId="7" borderId="25" xfId="0" applyFont="1" applyFill="1" applyBorder="1"/>
    <xf numFmtId="0" fontId="53" fillId="7" borderId="1" xfId="0" applyFont="1" applyFill="1" applyBorder="1" applyAlignment="1">
      <alignment horizontal="right"/>
    </xf>
    <xf numFmtId="0" fontId="18" fillId="5" borderId="0" xfId="0" applyFont="1" applyFill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0" fillId="0" borderId="4" xfId="0" applyBorder="1" applyAlignment="1">
      <alignment horizontal="right" vertical="center" wrapText="1"/>
    </xf>
    <xf numFmtId="0" fontId="14" fillId="0" borderId="5" xfId="0" applyFont="1" applyBorder="1" applyAlignment="1">
      <alignment vertical="center" wrapText="1"/>
    </xf>
    <xf numFmtId="0" fontId="0" fillId="0" borderId="6" xfId="0" applyBorder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0" fontId="0" fillId="0" borderId="0" xfId="0" applyAlignment="1">
      <alignment horizontal="right" vertical="center" wrapText="1"/>
    </xf>
    <xf numFmtId="0" fontId="19" fillId="16" borderId="2" xfId="0" applyFont="1" applyFill="1" applyBorder="1"/>
    <xf numFmtId="0" fontId="6" fillId="0" borderId="0" xfId="0" applyFont="1"/>
    <xf numFmtId="0" fontId="19" fillId="16" borderId="4" xfId="0" applyFont="1" applyFill="1" applyBorder="1"/>
    <xf numFmtId="49" fontId="33" fillId="5" borderId="1" xfId="0" applyNumberFormat="1" applyFont="1" applyFill="1" applyBorder="1" applyAlignment="1">
      <alignment horizontal="center"/>
    </xf>
    <xf numFmtId="49" fontId="31" fillId="5" borderId="1" xfId="0" applyNumberFormat="1" applyFont="1" applyFill="1" applyBorder="1" applyAlignment="1">
      <alignment horizontal="center"/>
    </xf>
    <xf numFmtId="0" fontId="19" fillId="5" borderId="3" xfId="0" applyFont="1" applyFill="1" applyBorder="1"/>
    <xf numFmtId="0" fontId="16" fillId="3" borderId="2" xfId="0" applyFont="1" applyFill="1" applyBorder="1"/>
    <xf numFmtId="0" fontId="16" fillId="3" borderId="4" xfId="0" applyFont="1" applyFill="1" applyBorder="1"/>
    <xf numFmtId="0" fontId="19" fillId="16" borderId="4" xfId="0" applyFont="1" applyFill="1" applyBorder="1" applyAlignment="1">
      <alignment horizontal="left"/>
    </xf>
    <xf numFmtId="49" fontId="18" fillId="16" borderId="7" xfId="0" applyNumberFormat="1" applyFont="1" applyFill="1" applyBorder="1" applyAlignment="1">
      <alignment horizontal="center"/>
    </xf>
    <xf numFmtId="16" fontId="18" fillId="5" borderId="1" xfId="0" applyNumberFormat="1" applyFont="1" applyFill="1" applyBorder="1" applyAlignment="1">
      <alignment horizontal="left" vertical="center" wrapText="1"/>
    </xf>
    <xf numFmtId="0" fontId="18" fillId="5" borderId="4" xfId="0" applyFont="1" applyFill="1" applyBorder="1" applyAlignment="1">
      <alignment vertical="center" wrapText="1"/>
    </xf>
    <xf numFmtId="0" fontId="19" fillId="5" borderId="4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left"/>
    </xf>
    <xf numFmtId="0" fontId="19" fillId="16" borderId="0" xfId="0" applyFont="1" applyFill="1"/>
    <xf numFmtId="0" fontId="19" fillId="16" borderId="26" xfId="0" applyFont="1" applyFill="1" applyBorder="1"/>
    <xf numFmtId="0" fontId="19" fillId="16" borderId="16" xfId="0" applyFont="1" applyFill="1" applyBorder="1"/>
    <xf numFmtId="0" fontId="5" fillId="0" borderId="0" xfId="0" applyFont="1"/>
    <xf numFmtId="0" fontId="23" fillId="13" borderId="0" xfId="0" applyFont="1" applyFill="1" applyAlignment="1">
      <alignment horizontal="left" vertical="center"/>
    </xf>
    <xf numFmtId="49" fontId="14" fillId="2" borderId="0" xfId="0" applyNumberFormat="1" applyFont="1" applyFill="1"/>
    <xf numFmtId="0" fontId="23" fillId="2" borderId="0" xfId="0" applyFont="1" applyFill="1" applyAlignment="1">
      <alignment horizontal="left" vertical="center"/>
    </xf>
    <xf numFmtId="0" fontId="14" fillId="2" borderId="0" xfId="0" applyFont="1" applyFill="1"/>
    <xf numFmtId="0" fontId="14" fillId="2" borderId="0" xfId="0" applyFont="1" applyFill="1" applyAlignment="1">
      <alignment horizontal="center"/>
    </xf>
    <xf numFmtId="0" fontId="14" fillId="2" borderId="0" xfId="0" applyFont="1" applyFill="1" applyAlignment="1">
      <alignment horizontal="left"/>
    </xf>
    <xf numFmtId="0" fontId="4" fillId="0" borderId="0" xfId="0" applyFont="1"/>
    <xf numFmtId="14" fontId="15" fillId="0" borderId="0" xfId="0" applyNumberFormat="1" applyFont="1" applyAlignment="1">
      <alignment horizontal="left"/>
    </xf>
    <xf numFmtId="0" fontId="0" fillId="2" borderId="0" xfId="0" applyFill="1" applyAlignment="1">
      <alignment horizontal="center"/>
    </xf>
    <xf numFmtId="0" fontId="53" fillId="7" borderId="4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8" fillId="9" borderId="4" xfId="0" applyFont="1" applyFill="1" applyBorder="1" applyAlignment="1">
      <alignment horizontal="center" vertical="center" wrapText="1"/>
    </xf>
    <xf numFmtId="0" fontId="18" fillId="15" borderId="3" xfId="0" applyFont="1" applyFill="1" applyBorder="1" applyAlignment="1">
      <alignment vertical="center" wrapText="1"/>
    </xf>
    <xf numFmtId="0" fontId="18" fillId="18" borderId="4" xfId="0" applyFont="1" applyFill="1" applyBorder="1" applyAlignment="1">
      <alignment horizontal="center" vertical="center" wrapText="1"/>
    </xf>
    <xf numFmtId="0" fontId="27" fillId="3" borderId="4" xfId="0" applyFont="1" applyFill="1" applyBorder="1" applyAlignment="1">
      <alignment horizontal="center" vertical="center" wrapText="1"/>
    </xf>
    <xf numFmtId="0" fontId="15" fillId="8" borderId="4" xfId="0" applyFont="1" applyFill="1" applyBorder="1" applyAlignment="1">
      <alignment horizontal="center" vertical="center" wrapText="1"/>
    </xf>
    <xf numFmtId="0" fontId="15" fillId="20" borderId="1" xfId="0" applyFont="1" applyFill="1" applyBorder="1" applyAlignment="1">
      <alignment vertical="center" wrapText="1"/>
    </xf>
    <xf numFmtId="0" fontId="15" fillId="20" borderId="4" xfId="0" applyFont="1" applyFill="1" applyBorder="1" applyAlignment="1">
      <alignment vertical="center" wrapText="1"/>
    </xf>
    <xf numFmtId="0" fontId="15" fillId="4" borderId="4" xfId="0" applyFont="1" applyFill="1" applyBorder="1" applyAlignment="1">
      <alignment vertical="center" wrapText="1"/>
    </xf>
    <xf numFmtId="0" fontId="15" fillId="22" borderId="4" xfId="0" applyFont="1" applyFill="1" applyBorder="1" applyAlignment="1">
      <alignment vertical="center" wrapText="1"/>
    </xf>
    <xf numFmtId="0" fontId="15" fillId="23" borderId="4" xfId="0" applyFont="1" applyFill="1" applyBorder="1" applyAlignment="1">
      <alignment vertical="center" wrapText="1"/>
    </xf>
    <xf numFmtId="0" fontId="16" fillId="24" borderId="4" xfId="0" applyFont="1" applyFill="1" applyBorder="1" applyAlignment="1">
      <alignment horizontal="center" vertical="center" wrapText="1"/>
    </xf>
    <xf numFmtId="0" fontId="16" fillId="27" borderId="4" xfId="0" applyFont="1" applyFill="1" applyBorder="1" applyAlignment="1">
      <alignment horizontal="center" vertical="center" wrapText="1"/>
    </xf>
    <xf numFmtId="0" fontId="17" fillId="20" borderId="6" xfId="0" applyFont="1" applyFill="1" applyBorder="1" applyAlignment="1">
      <alignment horizontal="right" vertical="center" wrapText="1"/>
    </xf>
    <xf numFmtId="0" fontId="17" fillId="4" borderId="6" xfId="0" applyFont="1" applyFill="1" applyBorder="1" applyAlignment="1">
      <alignment vertical="center" wrapText="1"/>
    </xf>
    <xf numFmtId="0" fontId="17" fillId="4" borderId="6" xfId="0" applyFont="1" applyFill="1" applyBorder="1" applyAlignment="1">
      <alignment horizontal="right" vertical="center" wrapText="1"/>
    </xf>
    <xf numFmtId="0" fontId="17" fillId="22" borderId="6" xfId="0" applyFont="1" applyFill="1" applyBorder="1" applyAlignment="1">
      <alignment vertical="center" wrapText="1"/>
    </xf>
    <xf numFmtId="0" fontId="17" fillId="22" borderId="6" xfId="0" applyFont="1" applyFill="1" applyBorder="1" applyAlignment="1">
      <alignment horizontal="right" vertical="center" wrapText="1"/>
    </xf>
    <xf numFmtId="0" fontId="17" fillId="23" borderId="6" xfId="0" applyFont="1" applyFill="1" applyBorder="1" applyAlignment="1">
      <alignment vertical="center" wrapText="1"/>
    </xf>
    <xf numFmtId="0" fontId="17" fillId="23" borderId="6" xfId="0" applyFont="1" applyFill="1" applyBorder="1" applyAlignment="1">
      <alignment horizontal="right" vertical="center" wrapText="1"/>
    </xf>
    <xf numFmtId="0" fontId="17" fillId="24" borderId="6" xfId="0" applyFont="1" applyFill="1" applyBorder="1" applyAlignment="1">
      <alignment horizontal="right" vertical="center" wrapText="1"/>
    </xf>
    <xf numFmtId="0" fontId="17" fillId="24" borderId="6" xfId="0" applyFont="1" applyFill="1" applyBorder="1" applyAlignment="1">
      <alignment vertical="center" wrapText="1"/>
    </xf>
    <xf numFmtId="0" fontId="17" fillId="25" borderId="6" xfId="0" applyFont="1" applyFill="1" applyBorder="1" applyAlignment="1">
      <alignment vertical="center" wrapText="1"/>
    </xf>
    <xf numFmtId="0" fontId="17" fillId="25" borderId="6" xfId="0" applyFont="1" applyFill="1" applyBorder="1" applyAlignment="1">
      <alignment horizontal="right" vertical="center" wrapText="1"/>
    </xf>
    <xf numFmtId="0" fontId="19" fillId="5" borderId="6" xfId="0" applyFont="1" applyFill="1" applyBorder="1" applyAlignment="1">
      <alignment vertical="center" wrapText="1"/>
    </xf>
    <xf numFmtId="0" fontId="17" fillId="26" borderId="6" xfId="0" applyFont="1" applyFill="1" applyBorder="1" applyAlignment="1">
      <alignment horizontal="right" vertical="center" wrapText="1"/>
    </xf>
    <xf numFmtId="0" fontId="17" fillId="26" borderId="6" xfId="0" applyFont="1" applyFill="1" applyBorder="1" applyAlignment="1">
      <alignment vertical="center" wrapText="1"/>
    </xf>
    <xf numFmtId="0" fontId="17" fillId="27" borderId="6" xfId="0" applyFont="1" applyFill="1" applyBorder="1" applyAlignment="1">
      <alignment vertical="center" wrapText="1"/>
    </xf>
    <xf numFmtId="0" fontId="17" fillId="27" borderId="6" xfId="0" applyFont="1" applyFill="1" applyBorder="1" applyAlignment="1">
      <alignment horizontal="right" vertical="center" wrapText="1"/>
    </xf>
    <xf numFmtId="0" fontId="19" fillId="5" borderId="0" xfId="0" applyFont="1" applyFill="1" applyAlignment="1">
      <alignment horizontal="right" vertical="center" wrapText="1"/>
    </xf>
    <xf numFmtId="0" fontId="18" fillId="5" borderId="0" xfId="0" applyFont="1" applyFill="1"/>
    <xf numFmtId="0" fontId="15" fillId="20" borderId="5" xfId="0" applyFont="1" applyFill="1" applyBorder="1" applyAlignment="1">
      <alignment vertical="center" wrapText="1"/>
    </xf>
    <xf numFmtId="0" fontId="16" fillId="24" borderId="6" xfId="0" applyFont="1" applyFill="1" applyBorder="1" applyAlignment="1">
      <alignment horizontal="center" vertical="center" wrapText="1"/>
    </xf>
    <xf numFmtId="0" fontId="16" fillId="25" borderId="6" xfId="0" applyFont="1" applyFill="1" applyBorder="1" applyAlignment="1">
      <alignment horizontal="center" vertical="center" wrapText="1"/>
    </xf>
    <xf numFmtId="0" fontId="16" fillId="26" borderId="6" xfId="0" applyFont="1" applyFill="1" applyBorder="1" applyAlignment="1">
      <alignment horizontal="center" vertical="center" wrapText="1"/>
    </xf>
    <xf numFmtId="0" fontId="16" fillId="27" borderId="6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17" fillId="2" borderId="0" xfId="0" applyFont="1" applyFill="1" applyAlignment="1">
      <alignment horizontal="center"/>
    </xf>
    <xf numFmtId="0" fontId="16" fillId="24" borderId="4" xfId="0" applyFont="1" applyFill="1" applyBorder="1" applyAlignment="1">
      <alignment horizontal="right" vertical="center" wrapText="1"/>
    </xf>
    <xf numFmtId="0" fontId="16" fillId="25" borderId="4" xfId="0" applyFont="1" applyFill="1" applyBorder="1" applyAlignment="1">
      <alignment horizontal="right" vertical="center" wrapText="1"/>
    </xf>
    <xf numFmtId="0" fontId="18" fillId="5" borderId="4" xfId="0" applyFont="1" applyFill="1" applyBorder="1" applyAlignment="1">
      <alignment horizontal="right" vertical="center" wrapText="1"/>
    </xf>
    <xf numFmtId="0" fontId="16" fillId="2" borderId="18" xfId="0" applyFont="1" applyFill="1" applyBorder="1" applyAlignment="1">
      <alignment vertical="center" wrapText="1"/>
    </xf>
    <xf numFmtId="0" fontId="18" fillId="2" borderId="0" xfId="0" applyFont="1" applyFill="1" applyAlignment="1">
      <alignment horizontal="right" vertical="center" wrapText="1"/>
    </xf>
    <xf numFmtId="0" fontId="19" fillId="5" borderId="16" xfId="0" applyFont="1" applyFill="1" applyBorder="1" applyAlignment="1">
      <alignment vertical="center" wrapText="1"/>
    </xf>
    <xf numFmtId="0" fontId="19" fillId="2" borderId="0" xfId="0" applyFont="1" applyFill="1" applyAlignment="1">
      <alignment vertical="center" wrapText="1"/>
    </xf>
    <xf numFmtId="0" fontId="17" fillId="27" borderId="1" xfId="0" applyFont="1" applyFill="1" applyBorder="1" applyAlignment="1">
      <alignment horizontal="right" vertical="center" wrapText="1"/>
    </xf>
    <xf numFmtId="0" fontId="17" fillId="27" borderId="5" xfId="0" applyFont="1" applyFill="1" applyBorder="1" applyAlignment="1">
      <alignment horizontal="right" vertical="center" wrapText="1"/>
    </xf>
    <xf numFmtId="0" fontId="17" fillId="2" borderId="0" xfId="0" applyFont="1" applyFill="1" applyAlignment="1">
      <alignment horizontal="right"/>
    </xf>
    <xf numFmtId="0" fontId="3" fillId="0" borderId="0" xfId="0" applyFont="1"/>
    <xf numFmtId="0" fontId="14" fillId="5" borderId="2" xfId="0" applyFont="1" applyFill="1" applyBorder="1"/>
    <xf numFmtId="0" fontId="14" fillId="5" borderId="3" xfId="0" applyFont="1" applyFill="1" applyBorder="1"/>
    <xf numFmtId="0" fontId="0" fillId="5" borderId="3" xfId="0" applyFill="1" applyBorder="1"/>
    <xf numFmtId="0" fontId="0" fillId="5" borderId="4" xfId="0" applyFill="1" applyBorder="1"/>
    <xf numFmtId="0" fontId="54" fillId="2" borderId="0" xfId="0" applyFont="1" applyFill="1"/>
    <xf numFmtId="0" fontId="14" fillId="2" borderId="0" xfId="0" applyFont="1" applyFill="1" applyAlignment="1">
      <alignment horizontal="right"/>
    </xf>
    <xf numFmtId="0" fontId="16" fillId="20" borderId="5" xfId="0" applyFont="1" applyFill="1" applyBorder="1" applyAlignment="1">
      <alignment vertical="center" wrapText="1"/>
    </xf>
    <xf numFmtId="0" fontId="16" fillId="20" borderId="1" xfId="0" applyFont="1" applyFill="1" applyBorder="1" applyAlignment="1">
      <alignment vertical="center" wrapText="1"/>
    </xf>
    <xf numFmtId="0" fontId="17" fillId="20" borderId="6" xfId="0" applyFont="1" applyFill="1" applyBorder="1" applyAlignment="1">
      <alignment vertical="center" wrapText="1"/>
    </xf>
    <xf numFmtId="0" fontId="28" fillId="5" borderId="6" xfId="0" applyFont="1" applyFill="1" applyBorder="1" applyAlignment="1">
      <alignment horizontal="center" vertical="center" wrapText="1"/>
    </xf>
    <xf numFmtId="0" fontId="28" fillId="15" borderId="6" xfId="0" applyFont="1" applyFill="1" applyBorder="1" applyAlignment="1">
      <alignment horizontal="center" vertical="center" wrapText="1"/>
    </xf>
    <xf numFmtId="49" fontId="16" fillId="24" borderId="4" xfId="0" applyNumberFormat="1" applyFont="1" applyFill="1" applyBorder="1" applyAlignment="1">
      <alignment horizontal="center" vertical="center" wrapText="1"/>
    </xf>
    <xf numFmtId="0" fontId="16" fillId="25" borderId="4" xfId="0" applyFont="1" applyFill="1" applyBorder="1" applyAlignment="1">
      <alignment horizontal="center" vertical="center" wrapText="1"/>
    </xf>
    <xf numFmtId="0" fontId="16" fillId="26" borderId="4" xfId="0" applyFont="1" applyFill="1" applyBorder="1" applyAlignment="1">
      <alignment horizontal="center" vertical="center" wrapText="1"/>
    </xf>
    <xf numFmtId="0" fontId="18" fillId="5" borderId="0" xfId="0" applyFont="1" applyFill="1" applyAlignment="1">
      <alignment horizontal="center" vertical="center" wrapText="1"/>
    </xf>
    <xf numFmtId="49" fontId="16" fillId="25" borderId="4" xfId="0" applyNumberFormat="1" applyFont="1" applyFill="1" applyBorder="1" applyAlignment="1">
      <alignment horizontal="center" vertical="center" wrapText="1"/>
    </xf>
    <xf numFmtId="0" fontId="18" fillId="5" borderId="0" xfId="0" applyFont="1" applyFill="1" applyAlignment="1">
      <alignment horizontal="center"/>
    </xf>
    <xf numFmtId="0" fontId="19" fillId="15" borderId="26" xfId="0" applyFont="1" applyFill="1" applyBorder="1"/>
    <xf numFmtId="0" fontId="19" fillId="15" borderId="16" xfId="0" applyFont="1" applyFill="1" applyBorder="1"/>
    <xf numFmtId="0" fontId="0" fillId="0" borderId="6" xfId="0" applyBorder="1" applyAlignment="1">
      <alignment horizontal="center" vertical="center" wrapText="1"/>
    </xf>
    <xf numFmtId="0" fontId="52" fillId="2" borderId="1" xfId="0" applyFont="1" applyFill="1" applyBorder="1"/>
    <xf numFmtId="0" fontId="36" fillId="19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37" fillId="5" borderId="4" xfId="0" applyFont="1" applyFill="1" applyBorder="1" applyAlignment="1">
      <alignment horizontal="center" vertical="center" wrapText="1"/>
    </xf>
    <xf numFmtId="0" fontId="18" fillId="15" borderId="0" xfId="0" applyFont="1" applyFill="1" applyAlignment="1">
      <alignment vertical="center" wrapText="1"/>
    </xf>
    <xf numFmtId="0" fontId="19" fillId="16" borderId="1" xfId="0" applyFont="1" applyFill="1" applyBorder="1" applyAlignment="1">
      <alignment horizontal="center" vertical="center" wrapText="1"/>
    </xf>
    <xf numFmtId="0" fontId="19" fillId="15" borderId="5" xfId="0" applyFont="1" applyFill="1" applyBorder="1"/>
    <xf numFmtId="16" fontId="18" fillId="5" borderId="0" xfId="0" applyNumberFormat="1" applyFont="1" applyFill="1" applyAlignment="1">
      <alignment horizontal="left" vertical="center" wrapText="1"/>
    </xf>
    <xf numFmtId="0" fontId="18" fillId="5" borderId="16" xfId="0" applyFont="1" applyFill="1" applyBorder="1" applyAlignment="1">
      <alignment vertical="center" wrapText="1"/>
    </xf>
    <xf numFmtId="0" fontId="19" fillId="5" borderId="0" xfId="0" applyFont="1" applyFill="1"/>
    <xf numFmtId="49" fontId="31" fillId="5" borderId="0" xfId="0" applyNumberFormat="1" applyFont="1" applyFill="1" applyAlignment="1">
      <alignment horizontal="center"/>
    </xf>
    <xf numFmtId="0" fontId="19" fillId="5" borderId="13" xfId="0" applyFont="1" applyFill="1" applyBorder="1"/>
    <xf numFmtId="0" fontId="19" fillId="16" borderId="13" xfId="0" applyFont="1" applyFill="1" applyBorder="1" applyAlignment="1">
      <alignment horizontal="center" vertical="center" wrapText="1"/>
    </xf>
    <xf numFmtId="0" fontId="19" fillId="5" borderId="13" xfId="0" applyFont="1" applyFill="1" applyBorder="1" applyAlignment="1">
      <alignment horizontal="center" vertical="center" wrapText="1"/>
    </xf>
    <xf numFmtId="0" fontId="50" fillId="15" borderId="0" xfId="0" applyFont="1" applyFill="1" applyAlignment="1">
      <alignment horizontal="center" vertical="center" wrapText="1"/>
    </xf>
    <xf numFmtId="0" fontId="18" fillId="15" borderId="0" xfId="0" applyFont="1" applyFill="1" applyAlignment="1">
      <alignment horizontal="center" vertical="center" wrapText="1"/>
    </xf>
    <xf numFmtId="0" fontId="18" fillId="9" borderId="13" xfId="0" applyFont="1" applyFill="1" applyBorder="1" applyAlignment="1">
      <alignment horizontal="center" vertical="center" wrapText="1"/>
    </xf>
    <xf numFmtId="0" fontId="19" fillId="15" borderId="13" xfId="0" applyFont="1" applyFill="1" applyBorder="1" applyAlignment="1">
      <alignment horizontal="center" vertical="center" wrapText="1"/>
    </xf>
    <xf numFmtId="0" fontId="15" fillId="8" borderId="13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27" fillId="3" borderId="13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right" vertical="center" wrapText="1"/>
    </xf>
    <xf numFmtId="0" fontId="19" fillId="16" borderId="1" xfId="0" applyFont="1" applyFill="1" applyBorder="1" applyAlignment="1">
      <alignment horizontal="right" vertical="center" wrapText="1"/>
    </xf>
    <xf numFmtId="0" fontId="19" fillId="15" borderId="1" xfId="0" applyFont="1" applyFill="1" applyBorder="1" applyAlignment="1">
      <alignment horizontal="right" vertical="center" wrapText="1"/>
    </xf>
    <xf numFmtId="0" fontId="0" fillId="5" borderId="0" xfId="0" applyFill="1"/>
    <xf numFmtId="0" fontId="0" fillId="28" borderId="0" xfId="0" applyFill="1"/>
    <xf numFmtId="0" fontId="17" fillId="29" borderId="0" xfId="0" applyFont="1" applyFill="1"/>
    <xf numFmtId="0" fontId="19" fillId="15" borderId="6" xfId="0" applyFont="1" applyFill="1" applyBorder="1"/>
    <xf numFmtId="16" fontId="17" fillId="2" borderId="0" xfId="0" applyNumberFormat="1" applyFont="1" applyFill="1" applyAlignment="1">
      <alignment horizontal="left" vertical="center" wrapText="1"/>
    </xf>
    <xf numFmtId="49" fontId="33" fillId="15" borderId="1" xfId="0" applyNumberFormat="1" applyFont="1" applyFill="1" applyBorder="1" applyAlignment="1">
      <alignment horizontal="center"/>
    </xf>
    <xf numFmtId="0" fontId="19" fillId="15" borderId="4" xfId="0" applyFont="1" applyFill="1" applyBorder="1" applyAlignment="1">
      <alignment horizontal="center" vertical="center" wrapText="1"/>
    </xf>
    <xf numFmtId="0" fontId="19" fillId="16" borderId="6" xfId="0" applyFont="1" applyFill="1" applyBorder="1"/>
    <xf numFmtId="0" fontId="2" fillId="0" borderId="0" xfId="0" applyFont="1"/>
    <xf numFmtId="0" fontId="19" fillId="5" borderId="1" xfId="0" applyFont="1" applyFill="1" applyBorder="1" applyAlignment="1">
      <alignment horizontal="right"/>
    </xf>
    <xf numFmtId="0" fontId="19" fillId="5" borderId="4" xfId="0" applyFont="1" applyFill="1" applyBorder="1" applyAlignment="1">
      <alignment horizontal="right"/>
    </xf>
    <xf numFmtId="0" fontId="19" fillId="5" borderId="13" xfId="0" applyFont="1" applyFill="1" applyBorder="1" applyAlignment="1">
      <alignment horizontal="right"/>
    </xf>
    <xf numFmtId="0" fontId="19" fillId="16" borderId="13" xfId="0" applyFont="1" applyFill="1" applyBorder="1"/>
    <xf numFmtId="0" fontId="19" fillId="16" borderId="5" xfId="0" applyFont="1" applyFill="1" applyBorder="1"/>
    <xf numFmtId="0" fontId="15" fillId="2" borderId="13" xfId="0" applyFont="1" applyFill="1" applyBorder="1" applyAlignment="1">
      <alignment horizontal="center" vertical="center" wrapText="1"/>
    </xf>
    <xf numFmtId="49" fontId="19" fillId="2" borderId="9" xfId="0" applyNumberFormat="1" applyFont="1" applyFill="1" applyBorder="1" applyAlignment="1">
      <alignment horizontal="center"/>
    </xf>
    <xf numFmtId="0" fontId="37" fillId="5" borderId="13" xfId="0" applyFont="1" applyFill="1" applyBorder="1" applyAlignment="1">
      <alignment horizontal="center" vertical="center" wrapText="1"/>
    </xf>
    <xf numFmtId="0" fontId="49" fillId="2" borderId="0" xfId="0" applyFont="1" applyFill="1" applyAlignment="1">
      <alignment horizontal="center" vertical="center" wrapText="1"/>
    </xf>
    <xf numFmtId="0" fontId="50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49" fontId="32" fillId="15" borderId="1" xfId="0" applyNumberFormat="1" applyFont="1" applyFill="1" applyBorder="1" applyAlignment="1">
      <alignment horizontal="center"/>
    </xf>
    <xf numFmtId="0" fontId="40" fillId="0" borderId="0" xfId="0" applyFont="1"/>
    <xf numFmtId="49" fontId="18" fillId="15" borderId="1" xfId="0" applyNumberFormat="1" applyFont="1" applyFill="1" applyBorder="1" applyAlignment="1">
      <alignment horizontal="center"/>
    </xf>
    <xf numFmtId="0" fontId="55" fillId="15" borderId="1" xfId="0" applyFont="1" applyFill="1" applyBorder="1" applyAlignment="1">
      <alignment horizontal="center" vertical="center" wrapText="1"/>
    </xf>
    <xf numFmtId="0" fontId="55" fillId="15" borderId="1" xfId="0" applyFont="1" applyFill="1" applyBorder="1"/>
    <xf numFmtId="0" fontId="55" fillId="5" borderId="1" xfId="0" applyFont="1" applyFill="1" applyBorder="1" applyAlignment="1">
      <alignment horizontal="center" vertical="center" wrapText="1"/>
    </xf>
    <xf numFmtId="0" fontId="55" fillId="16" borderId="1" xfId="0" applyFont="1" applyFill="1" applyBorder="1" applyAlignment="1">
      <alignment horizontal="center" vertical="center" wrapText="1"/>
    </xf>
    <xf numFmtId="49" fontId="19" fillId="15" borderId="1" xfId="0" applyNumberFormat="1" applyFont="1" applyFill="1" applyBorder="1" applyAlignment="1">
      <alignment horizontal="center"/>
    </xf>
    <xf numFmtId="16" fontId="18" fillId="15" borderId="0" xfId="0" applyNumberFormat="1" applyFont="1" applyFill="1" applyAlignment="1">
      <alignment horizontal="left" vertical="center" wrapText="1"/>
    </xf>
    <xf numFmtId="0" fontId="18" fillId="15" borderId="10" xfId="0" applyFont="1" applyFill="1" applyBorder="1" applyAlignment="1">
      <alignment vertical="center" wrapText="1"/>
    </xf>
    <xf numFmtId="0" fontId="55" fillId="15" borderId="5" xfId="0" applyFont="1" applyFill="1" applyBorder="1" applyAlignment="1">
      <alignment horizontal="center" vertical="center" wrapText="1"/>
    </xf>
    <xf numFmtId="0" fontId="55" fillId="15" borderId="5" xfId="0" applyFont="1" applyFill="1" applyBorder="1"/>
    <xf numFmtId="0" fontId="55" fillId="5" borderId="5" xfId="0" applyFont="1" applyFill="1" applyBorder="1" applyAlignment="1">
      <alignment horizontal="center" vertical="center" wrapText="1"/>
    </xf>
    <xf numFmtId="0" fontId="55" fillId="16" borderId="5" xfId="0" applyFont="1" applyFill="1" applyBorder="1" applyAlignment="1">
      <alignment horizontal="center" vertical="center" wrapText="1"/>
    </xf>
    <xf numFmtId="0" fontId="18" fillId="16" borderId="1" xfId="0" applyFont="1" applyFill="1" applyBorder="1" applyAlignment="1">
      <alignment horizontal="left" vertical="center" wrapText="1"/>
    </xf>
    <xf numFmtId="0" fontId="56" fillId="0" borderId="0" xfId="0" applyFont="1"/>
    <xf numFmtId="0" fontId="18" fillId="16" borderId="10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14" fillId="13" borderId="0" xfId="0" applyFont="1" applyFill="1"/>
    <xf numFmtId="0" fontId="0" fillId="13" borderId="0" xfId="0" applyFill="1"/>
    <xf numFmtId="0" fontId="23" fillId="13" borderId="0" xfId="0" applyFont="1" applyFill="1" applyAlignment="1">
      <alignment horizontal="right" vertical="center"/>
    </xf>
    <xf numFmtId="0" fontId="0" fillId="0" borderId="0" xfId="0"/>
    <xf numFmtId="0" fontId="14" fillId="13" borderId="0" xfId="0" applyFont="1" applyFill="1" applyAlignment="1">
      <alignment horizontal="right"/>
    </xf>
    <xf numFmtId="0" fontId="23" fillId="13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3" fillId="13" borderId="0" xfId="0" applyFont="1" applyFill="1" applyAlignment="1">
      <alignment vertical="center"/>
    </xf>
    <xf numFmtId="0" fontId="22" fillId="11" borderId="2" xfId="0" applyFont="1" applyFill="1" applyBorder="1" applyAlignment="1">
      <alignment horizontal="center" vertical="center" wrapText="1"/>
    </xf>
    <xf numFmtId="0" fontId="22" fillId="11" borderId="4" xfId="0" applyFont="1" applyFill="1" applyBorder="1" applyAlignment="1">
      <alignment horizontal="center" vertical="center" wrapText="1"/>
    </xf>
    <xf numFmtId="14" fontId="15" fillId="0" borderId="0" xfId="0" applyNumberFormat="1" applyFont="1" applyAlignment="1">
      <alignment horizontal="left"/>
    </xf>
    <xf numFmtId="0" fontId="15" fillId="0" borderId="0" xfId="0" applyFont="1"/>
    <xf numFmtId="0" fontId="14" fillId="7" borderId="7" xfId="0" applyFont="1" applyFill="1" applyBorder="1" applyAlignment="1">
      <alignment horizontal="center"/>
    </xf>
    <xf numFmtId="0" fontId="14" fillId="7" borderId="5" xfId="0" applyFont="1" applyFill="1" applyBorder="1" applyAlignment="1">
      <alignment horizontal="center"/>
    </xf>
    <xf numFmtId="0" fontId="14" fillId="7" borderId="2" xfId="0" applyFont="1" applyFill="1" applyBorder="1" applyAlignment="1">
      <alignment horizontal="center"/>
    </xf>
    <xf numFmtId="0" fontId="14" fillId="7" borderId="4" xfId="0" applyFont="1" applyFill="1" applyBorder="1" applyAlignment="1">
      <alignment horizontal="center"/>
    </xf>
    <xf numFmtId="0" fontId="14" fillId="7" borderId="3" xfId="0" applyFont="1" applyFill="1" applyBorder="1" applyAlignment="1">
      <alignment horizontal="center"/>
    </xf>
    <xf numFmtId="0" fontId="22" fillId="10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3" fillId="17" borderId="0" xfId="0" applyFont="1" applyFill="1" applyAlignment="1">
      <alignment horizontal="right" vertical="center"/>
    </xf>
    <xf numFmtId="0" fontId="0" fillId="17" borderId="0" xfId="0" applyFill="1" applyAlignment="1">
      <alignment horizontal="right"/>
    </xf>
    <xf numFmtId="0" fontId="2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16" fillId="2" borderId="0" xfId="0" applyFont="1" applyFill="1" applyAlignment="1">
      <alignment vertical="center" wrapText="1"/>
    </xf>
    <xf numFmtId="0" fontId="0" fillId="2" borderId="0" xfId="0" applyFill="1"/>
    <xf numFmtId="0" fontId="16" fillId="27" borderId="2" xfId="0" applyFont="1" applyFill="1" applyBorder="1" applyAlignment="1">
      <alignment horizontal="center" vertical="center" wrapText="1"/>
    </xf>
    <xf numFmtId="0" fontId="16" fillId="27" borderId="4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vertical="center" wrapText="1"/>
    </xf>
    <xf numFmtId="0" fontId="53" fillId="7" borderId="2" xfId="0" applyFont="1" applyFill="1" applyBorder="1" applyAlignment="1">
      <alignment horizontal="center"/>
    </xf>
    <xf numFmtId="0" fontId="53" fillId="7" borderId="3" xfId="0" applyFont="1" applyFill="1" applyBorder="1" applyAlignment="1">
      <alignment horizontal="center"/>
    </xf>
    <xf numFmtId="0" fontId="53" fillId="7" borderId="4" xfId="0" applyFont="1" applyFill="1" applyBorder="1" applyAlignment="1">
      <alignment horizontal="center"/>
    </xf>
    <xf numFmtId="0" fontId="49" fillId="15" borderId="2" xfId="0" applyFont="1" applyFill="1" applyBorder="1" applyAlignment="1">
      <alignment horizontal="left" vertical="center" wrapText="1"/>
    </xf>
    <xf numFmtId="0" fontId="49" fillId="15" borderId="3" xfId="0" applyFont="1" applyFill="1" applyBorder="1" applyAlignment="1">
      <alignment horizontal="left" vertical="center" wrapText="1"/>
    </xf>
    <xf numFmtId="0" fontId="49" fillId="15" borderId="4" xfId="0" applyFont="1" applyFill="1" applyBorder="1" applyAlignment="1">
      <alignment horizontal="left" vertical="center" wrapText="1"/>
    </xf>
    <xf numFmtId="0" fontId="53" fillId="7" borderId="2" xfId="0" applyFont="1" applyFill="1" applyBorder="1" applyAlignment="1">
      <alignment horizontal="left" wrapText="1"/>
    </xf>
    <xf numFmtId="0" fontId="53" fillId="7" borderId="3" xfId="0" applyFont="1" applyFill="1" applyBorder="1" applyAlignment="1">
      <alignment horizontal="left" wrapText="1"/>
    </xf>
    <xf numFmtId="0" fontId="53" fillId="7" borderId="2" xfId="0" applyFont="1" applyFill="1" applyBorder="1" applyAlignment="1">
      <alignment horizontal="center" wrapText="1"/>
    </xf>
    <xf numFmtId="0" fontId="53" fillId="7" borderId="3" xfId="0" applyFont="1" applyFill="1" applyBorder="1" applyAlignment="1">
      <alignment horizontal="center" wrapText="1"/>
    </xf>
    <xf numFmtId="0" fontId="53" fillId="7" borderId="4" xfId="0" applyFont="1" applyFill="1" applyBorder="1" applyAlignment="1">
      <alignment horizontal="center" wrapText="1"/>
    </xf>
    <xf numFmtId="0" fontId="53" fillId="7" borderId="2" xfId="0" applyFont="1" applyFill="1" applyBorder="1" applyAlignment="1">
      <alignment horizontal="center" vertical="center" wrapText="1"/>
    </xf>
    <xf numFmtId="0" fontId="53" fillId="7" borderId="3" xfId="0" applyFont="1" applyFill="1" applyBorder="1" applyAlignment="1">
      <alignment horizontal="center" vertical="center" wrapText="1"/>
    </xf>
    <xf numFmtId="0" fontId="53" fillId="7" borderId="4" xfId="0" applyFont="1" applyFill="1" applyBorder="1" applyAlignment="1">
      <alignment horizontal="center" vertical="center" wrapText="1"/>
    </xf>
    <xf numFmtId="16" fontId="17" fillId="2" borderId="0" xfId="0" applyNumberFormat="1" applyFont="1" applyFill="1" applyAlignment="1">
      <alignment horizontal="left" vertical="center" wrapText="1"/>
    </xf>
    <xf numFmtId="0" fontId="18" fillId="15" borderId="2" xfId="0" applyFont="1" applyFill="1" applyBorder="1" applyAlignment="1">
      <alignment horizontal="left" vertical="center" wrapText="1"/>
    </xf>
    <xf numFmtId="0" fontId="18" fillId="15" borderId="3" xfId="0" applyFont="1" applyFill="1" applyBorder="1" applyAlignment="1">
      <alignment horizontal="left" vertical="center" wrapText="1"/>
    </xf>
    <xf numFmtId="0" fontId="18" fillId="15" borderId="4" xfId="0" applyFont="1" applyFill="1" applyBorder="1" applyAlignment="1">
      <alignment horizontal="left" vertical="center" wrapText="1"/>
    </xf>
    <xf numFmtId="0" fontId="50" fillId="15" borderId="2" xfId="0" applyFont="1" applyFill="1" applyBorder="1" applyAlignment="1">
      <alignment horizontal="left" vertical="center" wrapText="1"/>
    </xf>
    <xf numFmtId="0" fontId="50" fillId="15" borderId="3" xfId="0" applyFont="1" applyFill="1" applyBorder="1" applyAlignment="1">
      <alignment horizontal="left" vertical="center" wrapText="1"/>
    </xf>
    <xf numFmtId="0" fontId="50" fillId="15" borderId="4" xfId="0" applyFont="1" applyFill="1" applyBorder="1" applyAlignment="1">
      <alignment horizontal="left" vertical="center" wrapText="1"/>
    </xf>
    <xf numFmtId="0" fontId="36" fillId="19" borderId="2" xfId="0" applyFont="1" applyFill="1" applyBorder="1" applyAlignment="1">
      <alignment horizontal="center"/>
    </xf>
    <xf numFmtId="0" fontId="36" fillId="19" borderId="3" xfId="0" applyFont="1" applyFill="1" applyBorder="1" applyAlignment="1">
      <alignment horizontal="center"/>
    </xf>
    <xf numFmtId="0" fontId="36" fillId="19" borderId="4" xfId="0" applyFont="1" applyFill="1" applyBorder="1" applyAlignment="1">
      <alignment horizontal="center"/>
    </xf>
    <xf numFmtId="0" fontId="36" fillId="19" borderId="2" xfId="0" applyFont="1" applyFill="1" applyBorder="1" applyAlignment="1">
      <alignment horizontal="left" wrapText="1"/>
    </xf>
    <xf numFmtId="0" fontId="36" fillId="19" borderId="3" xfId="0" applyFont="1" applyFill="1" applyBorder="1" applyAlignment="1">
      <alignment horizontal="left" wrapText="1"/>
    </xf>
    <xf numFmtId="0" fontId="36" fillId="19" borderId="2" xfId="0" applyFont="1" applyFill="1" applyBorder="1" applyAlignment="1">
      <alignment horizontal="center" wrapText="1"/>
    </xf>
    <xf numFmtId="0" fontId="36" fillId="19" borderId="3" xfId="0" applyFont="1" applyFill="1" applyBorder="1" applyAlignment="1">
      <alignment horizontal="center" wrapText="1"/>
    </xf>
    <xf numFmtId="0" fontId="36" fillId="19" borderId="4" xfId="0" applyFont="1" applyFill="1" applyBorder="1" applyAlignment="1">
      <alignment horizontal="center" wrapText="1"/>
    </xf>
    <xf numFmtId="0" fontId="36" fillId="19" borderId="2" xfId="0" applyFont="1" applyFill="1" applyBorder="1" applyAlignment="1">
      <alignment horizontal="center" vertical="center" wrapText="1"/>
    </xf>
    <xf numFmtId="0" fontId="36" fillId="19" borderId="3" xfId="0" applyFont="1" applyFill="1" applyBorder="1" applyAlignment="1">
      <alignment horizontal="center" vertical="center" wrapText="1"/>
    </xf>
    <xf numFmtId="0" fontId="36" fillId="19" borderId="4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/>
    </xf>
    <xf numFmtId="0" fontId="16" fillId="3" borderId="3" xfId="0" applyFont="1" applyFill="1" applyBorder="1" applyAlignment="1">
      <alignment horizontal="center"/>
    </xf>
    <xf numFmtId="0" fontId="16" fillId="3" borderId="4" xfId="0" applyFont="1" applyFill="1" applyBorder="1" applyAlignment="1">
      <alignment horizontal="center"/>
    </xf>
    <xf numFmtId="0" fontId="55" fillId="15" borderId="10" xfId="0" applyFont="1" applyFill="1" applyBorder="1" applyAlignment="1">
      <alignment horizontal="left" vertical="center" wrapText="1"/>
    </xf>
    <xf numFmtId="0" fontId="55" fillId="15" borderId="16" xfId="0" applyFont="1" applyFill="1" applyBorder="1" applyAlignment="1">
      <alignment horizontal="left" vertical="center" wrapText="1"/>
    </xf>
    <xf numFmtId="0" fontId="55" fillId="15" borderId="6" xfId="0" applyFont="1" applyFill="1" applyBorder="1" applyAlignment="1">
      <alignment horizontal="left" vertical="center" wrapText="1"/>
    </xf>
    <xf numFmtId="0" fontId="16" fillId="3" borderId="2" xfId="0" applyFont="1" applyFill="1" applyBorder="1" applyAlignment="1">
      <alignment horizontal="left" wrapText="1"/>
    </xf>
    <xf numFmtId="0" fontId="16" fillId="3" borderId="3" xfId="0" applyFont="1" applyFill="1" applyBorder="1" applyAlignment="1">
      <alignment horizontal="left" wrapText="1"/>
    </xf>
    <xf numFmtId="0" fontId="16" fillId="3" borderId="2" xfId="0" applyFont="1" applyFill="1" applyBorder="1" applyAlignment="1">
      <alignment horizontal="center" wrapText="1"/>
    </xf>
    <xf numFmtId="0" fontId="16" fillId="3" borderId="3" xfId="0" applyFont="1" applyFill="1" applyBorder="1" applyAlignment="1">
      <alignment horizontal="center" wrapText="1"/>
    </xf>
    <xf numFmtId="0" fontId="16" fillId="3" borderId="4" xfId="0" applyFont="1" applyFill="1" applyBorder="1" applyAlignment="1">
      <alignment horizont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wrapText="1"/>
    </xf>
    <xf numFmtId="0" fontId="25" fillId="2" borderId="3" xfId="0" applyFont="1" applyFill="1" applyBorder="1" applyAlignment="1">
      <alignment horizontal="center" wrapText="1"/>
    </xf>
    <xf numFmtId="0" fontId="25" fillId="2" borderId="4" xfId="0" applyFont="1" applyFill="1" applyBorder="1" applyAlignment="1">
      <alignment horizontal="center" wrapText="1"/>
    </xf>
    <xf numFmtId="0" fontId="25" fillId="2" borderId="2" xfId="0" applyFont="1" applyFill="1" applyBorder="1" applyAlignment="1">
      <alignment horizontal="center"/>
    </xf>
    <xf numFmtId="0" fontId="25" fillId="0" borderId="3" xfId="0" applyFont="1" applyBorder="1" applyAlignment="1">
      <alignment horizontal="center"/>
    </xf>
    <xf numFmtId="0" fontId="25" fillId="0" borderId="4" xfId="0" applyFont="1" applyBorder="1" applyAlignment="1">
      <alignment horizontal="center"/>
    </xf>
    <xf numFmtId="0" fontId="34" fillId="15" borderId="2" xfId="0" applyFont="1" applyFill="1" applyBorder="1" applyAlignment="1">
      <alignment horizontal="left" vertical="center" wrapText="1"/>
    </xf>
    <xf numFmtId="0" fontId="34" fillId="15" borderId="3" xfId="0" applyFont="1" applyFill="1" applyBorder="1" applyAlignment="1">
      <alignment horizontal="left" vertical="center" wrapText="1"/>
    </xf>
    <xf numFmtId="0" fontId="34" fillId="15" borderId="4" xfId="0" applyFont="1" applyFill="1" applyBorder="1" applyAlignment="1">
      <alignment horizontal="left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left" wrapText="1"/>
    </xf>
    <xf numFmtId="0" fontId="25" fillId="2" borderId="3" xfId="0" applyFont="1" applyFill="1" applyBorder="1" applyAlignment="1">
      <alignment horizontal="left" wrapText="1"/>
    </xf>
    <xf numFmtId="0" fontId="16" fillId="2" borderId="2" xfId="0" applyFont="1" applyFill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0" fontId="27" fillId="15" borderId="2" xfId="0" applyFont="1" applyFill="1" applyBorder="1" applyAlignment="1">
      <alignment horizontal="left" vertical="center" wrapText="1"/>
    </xf>
    <xf numFmtId="0" fontId="28" fillId="0" borderId="3" xfId="0" applyFont="1" applyBorder="1" applyAlignment="1">
      <alignment horizontal="left" vertical="center" wrapText="1"/>
    </xf>
    <xf numFmtId="0" fontId="28" fillId="0" borderId="4" xfId="0" applyFont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wrapText="1"/>
    </xf>
    <xf numFmtId="0" fontId="16" fillId="2" borderId="3" xfId="0" applyFont="1" applyFill="1" applyBorder="1" applyAlignment="1">
      <alignment horizontal="left" wrapText="1"/>
    </xf>
    <xf numFmtId="0" fontId="16" fillId="2" borderId="2" xfId="0" applyFont="1" applyFill="1" applyBorder="1" applyAlignment="1">
      <alignment horizontal="center" wrapText="1"/>
    </xf>
    <xf numFmtId="0" fontId="16" fillId="2" borderId="3" xfId="0" applyFont="1" applyFill="1" applyBorder="1" applyAlignment="1">
      <alignment horizontal="center" wrapText="1"/>
    </xf>
    <xf numFmtId="0" fontId="16" fillId="2" borderId="4" xfId="0" applyFont="1" applyFill="1" applyBorder="1" applyAlignment="1">
      <alignment horizont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51" fillId="0" borderId="3" xfId="0" applyFont="1" applyBorder="1" applyAlignment="1">
      <alignment horizontal="left" vertical="center" wrapText="1"/>
    </xf>
    <xf numFmtId="0" fontId="51" fillId="0" borderId="4" xfId="0" applyFont="1" applyBorder="1" applyAlignment="1">
      <alignment horizontal="left" vertical="center" wrapText="1"/>
    </xf>
    <xf numFmtId="0" fontId="18" fillId="8" borderId="2" xfId="0" applyFont="1" applyFill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8" fillId="8" borderId="2" xfId="0" applyFont="1" applyFill="1" applyBorder="1" applyAlignment="1">
      <alignment horizontal="center" vertical="center" wrapText="1"/>
    </xf>
    <xf numFmtId="0" fontId="18" fillId="8" borderId="4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left" wrapText="1"/>
    </xf>
    <xf numFmtId="0" fontId="18" fillId="8" borderId="3" xfId="0" applyFont="1" applyFill="1" applyBorder="1" applyAlignment="1">
      <alignment horizontal="left" wrapText="1"/>
    </xf>
    <xf numFmtId="0" fontId="18" fillId="8" borderId="2" xfId="0" applyFont="1" applyFill="1" applyBorder="1" applyAlignment="1">
      <alignment horizontal="center" wrapText="1"/>
    </xf>
    <xf numFmtId="0" fontId="18" fillId="8" borderId="3" xfId="0" applyFont="1" applyFill="1" applyBorder="1" applyAlignment="1">
      <alignment horizontal="center" wrapText="1"/>
    </xf>
    <xf numFmtId="0" fontId="18" fillId="8" borderId="4" xfId="0" applyFont="1" applyFill="1" applyBorder="1" applyAlignment="1">
      <alignment horizontal="center" wrapText="1"/>
    </xf>
    <xf numFmtId="0" fontId="18" fillId="6" borderId="2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8" fillId="6" borderId="2" xfId="0" applyFont="1" applyFill="1" applyBorder="1" applyAlignment="1">
      <alignment horizontal="center" vertical="center" wrapText="1"/>
    </xf>
    <xf numFmtId="0" fontId="18" fillId="6" borderId="3" xfId="0" applyFont="1" applyFill="1" applyBorder="1" applyAlignment="1">
      <alignment horizontal="center" vertical="center" wrapText="1"/>
    </xf>
    <xf numFmtId="0" fontId="18" fillId="6" borderId="4" xfId="0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left" wrapText="1"/>
    </xf>
    <xf numFmtId="0" fontId="18" fillId="6" borderId="3" xfId="0" applyFont="1" applyFill="1" applyBorder="1" applyAlignment="1">
      <alignment horizontal="left" wrapText="1"/>
    </xf>
    <xf numFmtId="0" fontId="18" fillId="6" borderId="2" xfId="0" applyFont="1" applyFill="1" applyBorder="1" applyAlignment="1">
      <alignment horizontal="center" wrapText="1"/>
    </xf>
    <xf numFmtId="0" fontId="18" fillId="6" borderId="3" xfId="0" applyFont="1" applyFill="1" applyBorder="1" applyAlignment="1">
      <alignment horizontal="center" wrapText="1"/>
    </xf>
    <xf numFmtId="0" fontId="18" fillId="6" borderId="4" xfId="0" applyFont="1" applyFill="1" applyBorder="1" applyAlignment="1">
      <alignment horizontal="center" wrapText="1"/>
    </xf>
    <xf numFmtId="0" fontId="18" fillId="9" borderId="2" xfId="0" applyFont="1" applyFill="1" applyBorder="1" applyAlignment="1">
      <alignment horizontal="center"/>
    </xf>
    <xf numFmtId="0" fontId="19" fillId="9" borderId="3" xfId="0" applyFont="1" applyFill="1" applyBorder="1" applyAlignment="1">
      <alignment horizontal="center"/>
    </xf>
    <xf numFmtId="0" fontId="19" fillId="9" borderId="4" xfId="0" applyFont="1" applyFill="1" applyBorder="1" applyAlignment="1">
      <alignment horizontal="center"/>
    </xf>
    <xf numFmtId="0" fontId="18" fillId="9" borderId="2" xfId="0" applyFont="1" applyFill="1" applyBorder="1" applyAlignment="1">
      <alignment horizontal="center" vertical="center" wrapText="1"/>
    </xf>
    <xf numFmtId="0" fontId="18" fillId="9" borderId="3" xfId="0" applyFont="1" applyFill="1" applyBorder="1" applyAlignment="1">
      <alignment horizontal="center" vertical="center" wrapText="1"/>
    </xf>
    <xf numFmtId="0" fontId="18" fillId="9" borderId="4" xfId="0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left" wrapText="1"/>
    </xf>
    <xf numFmtId="0" fontId="18" fillId="9" borderId="3" xfId="0" applyFont="1" applyFill="1" applyBorder="1" applyAlignment="1">
      <alignment horizontal="left" wrapText="1"/>
    </xf>
    <xf numFmtId="0" fontId="18" fillId="9" borderId="2" xfId="0" applyFont="1" applyFill="1" applyBorder="1" applyAlignment="1">
      <alignment horizontal="center" wrapText="1"/>
    </xf>
    <xf numFmtId="0" fontId="18" fillId="9" borderId="3" xfId="0" applyFont="1" applyFill="1" applyBorder="1" applyAlignment="1">
      <alignment horizontal="center" wrapText="1"/>
    </xf>
    <xf numFmtId="0" fontId="18" fillId="9" borderId="4" xfId="0" applyFont="1" applyFill="1" applyBorder="1" applyAlignment="1">
      <alignment horizontal="center" wrapText="1"/>
    </xf>
    <xf numFmtId="0" fontId="15" fillId="2" borderId="2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left" wrapText="1"/>
    </xf>
    <xf numFmtId="0" fontId="15" fillId="2" borderId="3" xfId="0" applyFont="1" applyFill="1" applyBorder="1" applyAlignment="1">
      <alignment horizontal="left" wrapText="1"/>
    </xf>
    <xf numFmtId="0" fontId="15" fillId="2" borderId="2" xfId="0" applyFont="1" applyFill="1" applyBorder="1" applyAlignment="1">
      <alignment horizontal="center" wrapText="1"/>
    </xf>
    <xf numFmtId="0" fontId="15" fillId="2" borderId="3" xfId="0" applyFont="1" applyFill="1" applyBorder="1" applyAlignment="1">
      <alignment horizontal="center" wrapText="1"/>
    </xf>
    <xf numFmtId="0" fontId="15" fillId="2" borderId="4" xfId="0" applyFont="1" applyFill="1" applyBorder="1" applyAlignment="1">
      <alignment horizont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8" fillId="15" borderId="3" xfId="0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37" fillId="5" borderId="2" xfId="0" applyFont="1" applyFill="1" applyBorder="1" applyAlignment="1">
      <alignment horizontal="center"/>
    </xf>
    <xf numFmtId="0" fontId="37" fillId="5" borderId="3" xfId="0" applyFont="1" applyFill="1" applyBorder="1" applyAlignment="1">
      <alignment horizontal="center"/>
    </xf>
    <xf numFmtId="0" fontId="37" fillId="5" borderId="4" xfId="0" applyFont="1" applyFill="1" applyBorder="1" applyAlignment="1">
      <alignment horizontal="center"/>
    </xf>
    <xf numFmtId="0" fontId="55" fillId="15" borderId="2" xfId="0" applyFont="1" applyFill="1" applyBorder="1" applyAlignment="1">
      <alignment horizontal="left" vertical="center" wrapText="1"/>
    </xf>
    <xf numFmtId="0" fontId="55" fillId="15" borderId="3" xfId="0" applyFont="1" applyFill="1" applyBorder="1" applyAlignment="1">
      <alignment horizontal="left" vertical="center" wrapText="1"/>
    </xf>
    <xf numFmtId="0" fontId="55" fillId="15" borderId="4" xfId="0" applyFont="1" applyFill="1" applyBorder="1" applyAlignment="1">
      <alignment horizontal="left" vertical="center" wrapText="1"/>
    </xf>
    <xf numFmtId="0" fontId="37" fillId="5" borderId="2" xfId="0" applyFont="1" applyFill="1" applyBorder="1" applyAlignment="1">
      <alignment horizontal="left" wrapText="1"/>
    </xf>
    <xf numFmtId="0" fontId="37" fillId="5" borderId="3" xfId="0" applyFont="1" applyFill="1" applyBorder="1" applyAlignment="1">
      <alignment horizontal="left" wrapText="1"/>
    </xf>
    <xf numFmtId="0" fontId="37" fillId="5" borderId="2" xfId="0" applyFont="1" applyFill="1" applyBorder="1" applyAlignment="1">
      <alignment horizontal="center" wrapText="1"/>
    </xf>
    <xf numFmtId="0" fontId="37" fillId="5" borderId="3" xfId="0" applyFont="1" applyFill="1" applyBorder="1" applyAlignment="1">
      <alignment horizontal="center" wrapText="1"/>
    </xf>
    <xf numFmtId="0" fontId="37" fillId="5" borderId="4" xfId="0" applyFont="1" applyFill="1" applyBorder="1" applyAlignment="1">
      <alignment horizontal="center" wrapText="1"/>
    </xf>
    <xf numFmtId="0" fontId="37" fillId="5" borderId="2" xfId="0" applyFont="1" applyFill="1" applyBorder="1" applyAlignment="1">
      <alignment horizontal="center" vertical="center" wrapText="1"/>
    </xf>
    <xf numFmtId="0" fontId="37" fillId="5" borderId="3" xfId="0" applyFont="1" applyFill="1" applyBorder="1" applyAlignment="1">
      <alignment horizontal="center" vertical="center" wrapText="1"/>
    </xf>
    <xf numFmtId="0" fontId="37" fillId="5" borderId="4" xfId="0" applyFont="1" applyFill="1" applyBorder="1" applyAlignment="1">
      <alignment horizontal="center" vertical="center" wrapText="1"/>
    </xf>
    <xf numFmtId="0" fontId="18" fillId="9" borderId="3" xfId="0" applyFont="1" applyFill="1" applyBorder="1" applyAlignment="1">
      <alignment horizontal="center"/>
    </xf>
    <xf numFmtId="0" fontId="18" fillId="9" borderId="4" xfId="0" applyFont="1" applyFill="1" applyBorder="1" applyAlignment="1">
      <alignment horizontal="center"/>
    </xf>
    <xf numFmtId="0" fontId="18" fillId="18" borderId="2" xfId="0" applyFont="1" applyFill="1" applyBorder="1" applyAlignment="1">
      <alignment horizontal="center"/>
    </xf>
    <xf numFmtId="0" fontId="18" fillId="18" borderId="3" xfId="0" applyFont="1" applyFill="1" applyBorder="1" applyAlignment="1">
      <alignment horizontal="center"/>
    </xf>
    <xf numFmtId="0" fontId="18" fillId="18" borderId="4" xfId="0" applyFont="1" applyFill="1" applyBorder="1" applyAlignment="1">
      <alignment horizontal="center"/>
    </xf>
    <xf numFmtId="0" fontId="18" fillId="18" borderId="2" xfId="0" applyFont="1" applyFill="1" applyBorder="1" applyAlignment="1">
      <alignment horizontal="left" wrapText="1"/>
    </xf>
    <xf numFmtId="0" fontId="18" fillId="18" borderId="3" xfId="0" applyFont="1" applyFill="1" applyBorder="1" applyAlignment="1">
      <alignment horizontal="left" wrapText="1"/>
    </xf>
    <xf numFmtId="0" fontId="18" fillId="18" borderId="2" xfId="0" applyFont="1" applyFill="1" applyBorder="1" applyAlignment="1">
      <alignment horizontal="center" wrapText="1"/>
    </xf>
    <xf numFmtId="0" fontId="18" fillId="18" borderId="3" xfId="0" applyFont="1" applyFill="1" applyBorder="1" applyAlignment="1">
      <alignment horizontal="center" wrapText="1"/>
    </xf>
    <xf numFmtId="0" fontId="18" fillId="18" borderId="4" xfId="0" applyFont="1" applyFill="1" applyBorder="1" applyAlignment="1">
      <alignment horizontal="center" wrapText="1"/>
    </xf>
    <xf numFmtId="0" fontId="18" fillId="18" borderId="2" xfId="0" applyFont="1" applyFill="1" applyBorder="1" applyAlignment="1">
      <alignment horizontal="center" vertical="center" wrapText="1"/>
    </xf>
    <xf numFmtId="0" fontId="18" fillId="18" borderId="3" xfId="0" applyFont="1" applyFill="1" applyBorder="1" applyAlignment="1">
      <alignment horizontal="center" vertical="center" wrapText="1"/>
    </xf>
    <xf numFmtId="0" fontId="18" fillId="18" borderId="4" xfId="0" applyFont="1" applyFill="1" applyBorder="1" applyAlignment="1">
      <alignment horizontal="center" vertical="center" wrapText="1"/>
    </xf>
    <xf numFmtId="0" fontId="38" fillId="15" borderId="2" xfId="0" applyFont="1" applyFill="1" applyBorder="1" applyAlignment="1">
      <alignment horizontal="left" vertical="center" wrapText="1"/>
    </xf>
    <xf numFmtId="0" fontId="38" fillId="15" borderId="3" xfId="0" applyFont="1" applyFill="1" applyBorder="1" applyAlignment="1">
      <alignment horizontal="left" vertical="center" wrapText="1"/>
    </xf>
    <xf numFmtId="0" fontId="38" fillId="15" borderId="4" xfId="0" applyFont="1" applyFill="1" applyBorder="1" applyAlignment="1">
      <alignment horizontal="left" vertical="center" wrapText="1"/>
    </xf>
    <xf numFmtId="0" fontId="46" fillId="0" borderId="3" xfId="0" applyFont="1" applyBorder="1" applyAlignment="1">
      <alignment horizontal="left" vertical="center" wrapText="1"/>
    </xf>
    <xf numFmtId="0" fontId="46" fillId="0" borderId="4" xfId="0" applyFont="1" applyBorder="1" applyAlignment="1">
      <alignment horizontal="left" vertical="center" wrapText="1"/>
    </xf>
    <xf numFmtId="0" fontId="27" fillId="3" borderId="2" xfId="0" applyFont="1" applyFill="1" applyBorder="1" applyAlignment="1">
      <alignment horizontal="center"/>
    </xf>
    <xf numFmtId="0" fontId="27" fillId="3" borderId="3" xfId="0" applyFont="1" applyFill="1" applyBorder="1" applyAlignment="1">
      <alignment horizontal="center"/>
    </xf>
    <xf numFmtId="0" fontId="27" fillId="3" borderId="4" xfId="0" applyFont="1" applyFill="1" applyBorder="1" applyAlignment="1">
      <alignment horizontal="center"/>
    </xf>
    <xf numFmtId="0" fontId="50" fillId="15" borderId="10" xfId="0" applyFont="1" applyFill="1" applyBorder="1" applyAlignment="1">
      <alignment horizontal="left" vertical="center" wrapText="1"/>
    </xf>
    <xf numFmtId="0" fontId="50" fillId="15" borderId="16" xfId="0" applyFont="1" applyFill="1" applyBorder="1" applyAlignment="1">
      <alignment horizontal="left" vertical="center" wrapText="1"/>
    </xf>
    <xf numFmtId="0" fontId="50" fillId="15" borderId="6" xfId="0" applyFont="1" applyFill="1" applyBorder="1" applyAlignment="1">
      <alignment horizontal="left" vertical="center" wrapText="1"/>
    </xf>
    <xf numFmtId="0" fontId="27" fillId="3" borderId="2" xfId="0" applyFont="1" applyFill="1" applyBorder="1" applyAlignment="1">
      <alignment horizontal="left" wrapText="1"/>
    </xf>
    <xf numFmtId="0" fontId="27" fillId="3" borderId="3" xfId="0" applyFont="1" applyFill="1" applyBorder="1" applyAlignment="1">
      <alignment horizontal="left" wrapText="1"/>
    </xf>
    <xf numFmtId="0" fontId="27" fillId="3" borderId="2" xfId="0" applyFont="1" applyFill="1" applyBorder="1" applyAlignment="1">
      <alignment horizontal="center" wrapText="1"/>
    </xf>
    <xf numFmtId="0" fontId="27" fillId="3" borderId="3" xfId="0" applyFont="1" applyFill="1" applyBorder="1" applyAlignment="1">
      <alignment horizontal="center" wrapText="1"/>
    </xf>
    <xf numFmtId="0" fontId="27" fillId="3" borderId="4" xfId="0" applyFont="1" applyFill="1" applyBorder="1" applyAlignment="1">
      <alignment horizontal="center" wrapText="1"/>
    </xf>
    <xf numFmtId="0" fontId="27" fillId="3" borderId="2" xfId="0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 wrapText="1"/>
    </xf>
    <xf numFmtId="0" fontId="27" fillId="3" borderId="4" xfId="0" applyFont="1" applyFill="1" applyBorder="1" applyAlignment="1">
      <alignment horizontal="center" vertical="center" wrapText="1"/>
    </xf>
    <xf numFmtId="0" fontId="15" fillId="8" borderId="2" xfId="0" applyFont="1" applyFill="1" applyBorder="1" applyAlignment="1">
      <alignment horizontal="center"/>
    </xf>
    <xf numFmtId="0" fontId="15" fillId="8" borderId="3" xfId="0" applyFont="1" applyFill="1" applyBorder="1" applyAlignment="1">
      <alignment horizontal="center"/>
    </xf>
    <xf numFmtId="0" fontId="15" fillId="8" borderId="4" xfId="0" applyFont="1" applyFill="1" applyBorder="1" applyAlignment="1">
      <alignment horizontal="center"/>
    </xf>
    <xf numFmtId="0" fontId="15" fillId="8" borderId="2" xfId="0" applyFont="1" applyFill="1" applyBorder="1" applyAlignment="1">
      <alignment horizontal="left" wrapText="1"/>
    </xf>
    <xf numFmtId="0" fontId="15" fillId="8" borderId="3" xfId="0" applyFont="1" applyFill="1" applyBorder="1" applyAlignment="1">
      <alignment horizontal="left" wrapText="1"/>
    </xf>
    <xf numFmtId="0" fontId="15" fillId="8" borderId="2" xfId="0" applyFont="1" applyFill="1" applyBorder="1" applyAlignment="1">
      <alignment horizontal="center" wrapText="1"/>
    </xf>
    <xf numFmtId="0" fontId="15" fillId="8" borderId="3" xfId="0" applyFont="1" applyFill="1" applyBorder="1" applyAlignment="1">
      <alignment horizontal="center" wrapText="1"/>
    </xf>
    <xf numFmtId="0" fontId="15" fillId="8" borderId="4" xfId="0" applyFont="1" applyFill="1" applyBorder="1" applyAlignment="1">
      <alignment horizontal="center" wrapText="1"/>
    </xf>
    <xf numFmtId="0" fontId="15" fillId="8" borderId="2" xfId="0" applyFont="1" applyFill="1" applyBorder="1" applyAlignment="1">
      <alignment horizontal="center" vertical="center" wrapText="1"/>
    </xf>
    <xf numFmtId="0" fontId="15" fillId="8" borderId="3" xfId="0" applyFont="1" applyFill="1" applyBorder="1" applyAlignment="1">
      <alignment horizontal="center" vertical="center" wrapText="1"/>
    </xf>
    <xf numFmtId="0" fontId="15" fillId="8" borderId="4" xfId="0" applyFont="1" applyFill="1" applyBorder="1" applyAlignment="1">
      <alignment horizontal="center" vertical="center" wrapText="1"/>
    </xf>
    <xf numFmtId="16" fontId="16" fillId="2" borderId="0" xfId="0" applyNumberFormat="1" applyFont="1" applyFill="1" applyAlignment="1">
      <alignment horizontal="left" vertical="center" wrapText="1"/>
    </xf>
    <xf numFmtId="0" fontId="14" fillId="0" borderId="0" xfId="0" applyFont="1"/>
    <xf numFmtId="0" fontId="18" fillId="3" borderId="2" xfId="0" applyFont="1" applyFill="1" applyBorder="1" applyAlignment="1">
      <alignment horizontal="center"/>
    </xf>
    <xf numFmtId="0" fontId="18" fillId="3" borderId="2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left" wrapText="1"/>
    </xf>
    <xf numFmtId="0" fontId="18" fillId="3" borderId="3" xfId="0" applyFont="1" applyFill="1" applyBorder="1" applyAlignment="1">
      <alignment horizontal="left" wrapText="1"/>
    </xf>
    <xf numFmtId="0" fontId="18" fillId="3" borderId="2" xfId="0" applyFont="1" applyFill="1" applyBorder="1" applyAlignment="1">
      <alignment horizontal="center" wrapText="1"/>
    </xf>
    <xf numFmtId="0" fontId="18" fillId="3" borderId="3" xfId="0" applyFont="1" applyFill="1" applyBorder="1" applyAlignment="1">
      <alignment horizontal="center" wrapText="1"/>
    </xf>
    <xf numFmtId="0" fontId="18" fillId="3" borderId="4" xfId="0" applyFont="1" applyFill="1" applyBorder="1" applyAlignment="1">
      <alignment horizontal="center" wrapText="1"/>
    </xf>
    <xf numFmtId="1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2F2F2"/>
      <color rgb="FFA03A7C"/>
      <color rgb="FFFFCC00"/>
      <color rgb="FF000000"/>
      <color rgb="FFCC3399"/>
      <color rgb="FF990099"/>
      <color rgb="FFFF3300"/>
      <color rgb="FFB43634"/>
      <color rgb="FFFF4B2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3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17253</xdr:colOff>
      <xdr:row>109</xdr:row>
      <xdr:rowOff>17253</xdr:rowOff>
    </xdr:from>
    <xdr:to>
      <xdr:col>1</xdr:col>
      <xdr:colOff>836151</xdr:colOff>
      <xdr:row>117</xdr:row>
      <xdr:rowOff>8015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A7016C-1122-4ACA-984E-F39AA6D51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53" y="18520913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11</xdr:col>
      <xdr:colOff>42520</xdr:colOff>
      <xdr:row>7</xdr:row>
      <xdr:rowOff>171917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5D98134-AA42-4898-9C32-CB8A774C2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1577" y="0"/>
          <a:ext cx="1440000" cy="1440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268319</xdr:colOff>
      <xdr:row>76</xdr:row>
      <xdr:rowOff>76738</xdr:rowOff>
    </xdr:from>
    <xdr:ext cx="303002" cy="304800"/>
    <xdr:sp macro="" textlink="">
      <xdr:nvSpPr>
        <xdr:cNvPr id="309" name="AutoShape 10" descr="Wasps">
          <a:extLst>
            <a:ext uri="{FF2B5EF4-FFF2-40B4-BE49-F238E27FC236}">
              <a16:creationId xmlns:a16="http://schemas.microsoft.com/office/drawing/2014/main" id="{6BACF33C-7A11-4F9A-9A0F-B1D5866C7270}"/>
            </a:ext>
          </a:extLst>
        </xdr:cNvPr>
        <xdr:cNvSpPr>
          <a:spLocks noChangeAspect="1" noChangeArrowheads="1"/>
        </xdr:cNvSpPr>
      </xdr:nvSpPr>
      <xdr:spPr bwMode="auto">
        <a:xfrm rot="15385171">
          <a:off x="4028537" y="14337101"/>
          <a:ext cx="304800" cy="303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609600</xdr:colOff>
      <xdr:row>25</xdr:row>
      <xdr:rowOff>19050</xdr:rowOff>
    </xdr:from>
    <xdr:ext cx="298150" cy="302284"/>
    <xdr:sp macro="" textlink="">
      <xdr:nvSpPr>
        <xdr:cNvPr id="2" name="AutoShape 9" descr="Bath Rugby">
          <a:extLst>
            <a:ext uri="{FF2B5EF4-FFF2-40B4-BE49-F238E27FC236}">
              <a16:creationId xmlns:a16="http://schemas.microsoft.com/office/drawing/2014/main" id="{BFDBF63E-2A3B-44EE-96F1-89D2305B492A}"/>
            </a:ext>
          </a:extLst>
        </xdr:cNvPr>
        <xdr:cNvSpPr>
          <a:spLocks noChangeAspect="1" noChangeArrowheads="1"/>
        </xdr:cNvSpPr>
      </xdr:nvSpPr>
      <xdr:spPr bwMode="auto">
        <a:xfrm>
          <a:off x="11263223" y="4763578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9</xdr:col>
      <xdr:colOff>0</xdr:colOff>
      <xdr:row>2</xdr:row>
      <xdr:rowOff>0</xdr:rowOff>
    </xdr:from>
    <xdr:to>
      <xdr:col>9</xdr:col>
      <xdr:colOff>304800</xdr:colOff>
      <xdr:row>3</xdr:row>
      <xdr:rowOff>121130</xdr:rowOff>
    </xdr:to>
    <xdr:sp macro="" textlink="">
      <xdr:nvSpPr>
        <xdr:cNvPr id="3" name="AutoShape 1" descr="Bristol Bears">
          <a:extLst>
            <a:ext uri="{FF2B5EF4-FFF2-40B4-BE49-F238E27FC236}">
              <a16:creationId xmlns:a16="http://schemas.microsoft.com/office/drawing/2014/main" id="{9BB0740C-48F0-4663-B9BB-CB2E4277F744}"/>
            </a:ext>
          </a:extLst>
        </xdr:cNvPr>
        <xdr:cNvSpPr>
          <a:spLocks noChangeAspect="1" noChangeArrowheads="1"/>
        </xdr:cNvSpPr>
      </xdr:nvSpPr>
      <xdr:spPr bwMode="auto">
        <a:xfrm>
          <a:off x="6599208" y="37956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34505</xdr:colOff>
      <xdr:row>8</xdr:row>
      <xdr:rowOff>17252</xdr:rowOff>
    </xdr:from>
    <xdr:to>
      <xdr:col>9</xdr:col>
      <xdr:colOff>339305</xdr:colOff>
      <xdr:row>9</xdr:row>
      <xdr:rowOff>138381</xdr:rowOff>
    </xdr:to>
    <xdr:sp macro="" textlink="">
      <xdr:nvSpPr>
        <xdr:cNvPr id="4" name="AutoShape 2" descr="Exeter Chiefs">
          <a:extLst>
            <a:ext uri="{FF2B5EF4-FFF2-40B4-BE49-F238E27FC236}">
              <a16:creationId xmlns:a16="http://schemas.microsoft.com/office/drawing/2014/main" id="{BCCFC058-4535-44A3-9FB6-4BBD765BA70C}"/>
            </a:ext>
          </a:extLst>
        </xdr:cNvPr>
        <xdr:cNvSpPr>
          <a:spLocks noChangeAspect="1" noChangeArrowheads="1"/>
        </xdr:cNvSpPr>
      </xdr:nvSpPr>
      <xdr:spPr bwMode="auto">
        <a:xfrm>
          <a:off x="6996022" y="1535501"/>
          <a:ext cx="304800" cy="310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6</xdr:row>
      <xdr:rowOff>112503</xdr:rowOff>
    </xdr:to>
    <xdr:sp macro="" textlink="">
      <xdr:nvSpPr>
        <xdr:cNvPr id="5" name="AutoShape 3" descr="Harlequins">
          <a:extLst>
            <a:ext uri="{FF2B5EF4-FFF2-40B4-BE49-F238E27FC236}">
              <a16:creationId xmlns:a16="http://schemas.microsoft.com/office/drawing/2014/main" id="{DCF16B4B-CDB6-4295-AB09-82246AC25A4E}"/>
            </a:ext>
          </a:extLst>
        </xdr:cNvPr>
        <xdr:cNvSpPr>
          <a:spLocks noChangeAspect="1" noChangeArrowheads="1"/>
        </xdr:cNvSpPr>
      </xdr:nvSpPr>
      <xdr:spPr bwMode="auto">
        <a:xfrm>
          <a:off x="6599208" y="75912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304800</xdr:colOff>
      <xdr:row>6</xdr:row>
      <xdr:rowOff>121130</xdr:rowOff>
    </xdr:to>
    <xdr:sp macro="" textlink="">
      <xdr:nvSpPr>
        <xdr:cNvPr id="6" name="AutoShape 4" descr="Sale Sharks">
          <a:extLst>
            <a:ext uri="{FF2B5EF4-FFF2-40B4-BE49-F238E27FC236}">
              <a16:creationId xmlns:a16="http://schemas.microsoft.com/office/drawing/2014/main" id="{E7EC01FC-6619-489B-971F-E48F0584A06C}"/>
            </a:ext>
          </a:extLst>
        </xdr:cNvPr>
        <xdr:cNvSpPr>
          <a:spLocks noChangeAspect="1" noChangeArrowheads="1"/>
        </xdr:cNvSpPr>
      </xdr:nvSpPr>
      <xdr:spPr bwMode="auto">
        <a:xfrm>
          <a:off x="6599208" y="94890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304800</xdr:colOff>
      <xdr:row>14</xdr:row>
      <xdr:rowOff>112503</xdr:rowOff>
    </xdr:to>
    <xdr:sp macro="" textlink="">
      <xdr:nvSpPr>
        <xdr:cNvPr id="7" name="AutoShape 5" descr="Northampton Saints">
          <a:extLst>
            <a:ext uri="{FF2B5EF4-FFF2-40B4-BE49-F238E27FC236}">
              <a16:creationId xmlns:a16="http://schemas.microsoft.com/office/drawing/2014/main" id="{98E12932-A3FB-4FFF-B400-D4B7FCA80327}"/>
            </a:ext>
          </a:extLst>
        </xdr:cNvPr>
        <xdr:cNvSpPr>
          <a:spLocks noChangeAspect="1" noChangeArrowheads="1"/>
        </xdr:cNvSpPr>
      </xdr:nvSpPr>
      <xdr:spPr bwMode="auto">
        <a:xfrm>
          <a:off x="6599208" y="113868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304800</xdr:colOff>
      <xdr:row>15</xdr:row>
      <xdr:rowOff>112502</xdr:rowOff>
    </xdr:to>
    <xdr:sp macro="" textlink="">
      <xdr:nvSpPr>
        <xdr:cNvPr id="8" name="AutoShape 6" descr="London Irish">
          <a:extLst>
            <a:ext uri="{FF2B5EF4-FFF2-40B4-BE49-F238E27FC236}">
              <a16:creationId xmlns:a16="http://schemas.microsoft.com/office/drawing/2014/main" id="{E7766E4C-7F82-4642-B387-7F564FAACAE2}"/>
            </a:ext>
          </a:extLst>
        </xdr:cNvPr>
        <xdr:cNvSpPr>
          <a:spLocks noChangeAspect="1" noChangeArrowheads="1"/>
        </xdr:cNvSpPr>
      </xdr:nvSpPr>
      <xdr:spPr bwMode="auto">
        <a:xfrm>
          <a:off x="6599208" y="132846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304800</xdr:colOff>
      <xdr:row>16</xdr:row>
      <xdr:rowOff>112504</xdr:rowOff>
    </xdr:to>
    <xdr:sp macro="" textlink="">
      <xdr:nvSpPr>
        <xdr:cNvPr id="9" name="AutoShape 7" descr="Leicester Tigers">
          <a:extLst>
            <a:ext uri="{FF2B5EF4-FFF2-40B4-BE49-F238E27FC236}">
              <a16:creationId xmlns:a16="http://schemas.microsoft.com/office/drawing/2014/main" id="{FDC4D2E3-DAE3-43A7-9324-FFC6A8023BDB}"/>
            </a:ext>
          </a:extLst>
        </xdr:cNvPr>
        <xdr:cNvSpPr>
          <a:spLocks noChangeAspect="1" noChangeArrowheads="1"/>
        </xdr:cNvSpPr>
      </xdr:nvSpPr>
      <xdr:spPr bwMode="auto">
        <a:xfrm>
          <a:off x="6599208" y="151824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304800</xdr:colOff>
      <xdr:row>17</xdr:row>
      <xdr:rowOff>112503</xdr:rowOff>
    </xdr:to>
    <xdr:sp macro="" textlink="">
      <xdr:nvSpPr>
        <xdr:cNvPr id="10" name="AutoShape 8" descr="Newcastle Falcons">
          <a:extLst>
            <a:ext uri="{FF2B5EF4-FFF2-40B4-BE49-F238E27FC236}">
              <a16:creationId xmlns:a16="http://schemas.microsoft.com/office/drawing/2014/main" id="{F9E92B8D-D4E4-4509-AA14-4376964C2DD4}"/>
            </a:ext>
          </a:extLst>
        </xdr:cNvPr>
        <xdr:cNvSpPr>
          <a:spLocks noChangeAspect="1" noChangeArrowheads="1"/>
        </xdr:cNvSpPr>
      </xdr:nvSpPr>
      <xdr:spPr bwMode="auto">
        <a:xfrm>
          <a:off x="6599208" y="170803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609600</xdr:colOff>
      <xdr:row>16</xdr:row>
      <xdr:rowOff>19050</xdr:rowOff>
    </xdr:from>
    <xdr:to>
      <xdr:col>9</xdr:col>
      <xdr:colOff>295275</xdr:colOff>
      <xdr:row>17</xdr:row>
      <xdr:rowOff>140179</xdr:rowOff>
    </xdr:to>
    <xdr:sp macro="" textlink="">
      <xdr:nvSpPr>
        <xdr:cNvPr id="11" name="AutoShape 9" descr="Bath Rugby">
          <a:extLst>
            <a:ext uri="{FF2B5EF4-FFF2-40B4-BE49-F238E27FC236}">
              <a16:creationId xmlns:a16="http://schemas.microsoft.com/office/drawing/2014/main" id="{B47EA36B-AB67-4ACD-9C72-59456121202C}"/>
            </a:ext>
          </a:extLst>
        </xdr:cNvPr>
        <xdr:cNvSpPr>
          <a:spLocks noChangeAspect="1" noChangeArrowheads="1"/>
        </xdr:cNvSpPr>
      </xdr:nvSpPr>
      <xdr:spPr bwMode="auto">
        <a:xfrm>
          <a:off x="6596332" y="1916861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304800</xdr:colOff>
      <xdr:row>19</xdr:row>
      <xdr:rowOff>112502</xdr:rowOff>
    </xdr:to>
    <xdr:sp macro="" textlink="">
      <xdr:nvSpPr>
        <xdr:cNvPr id="12" name="AutoShape 10" descr="Wasps">
          <a:extLst>
            <a:ext uri="{FF2B5EF4-FFF2-40B4-BE49-F238E27FC236}">
              <a16:creationId xmlns:a16="http://schemas.microsoft.com/office/drawing/2014/main" id="{FB6FB8A9-9881-4DC0-8AD1-0F355B291D63}"/>
            </a:ext>
          </a:extLst>
        </xdr:cNvPr>
        <xdr:cNvSpPr>
          <a:spLocks noChangeAspect="1" noChangeArrowheads="1"/>
        </xdr:cNvSpPr>
      </xdr:nvSpPr>
      <xdr:spPr bwMode="auto">
        <a:xfrm>
          <a:off x="6599208" y="208759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35</xdr:row>
      <xdr:rowOff>0</xdr:rowOff>
    </xdr:from>
    <xdr:to>
      <xdr:col>9</xdr:col>
      <xdr:colOff>304800</xdr:colOff>
      <xdr:row>36</xdr:row>
      <xdr:rowOff>121129</xdr:rowOff>
    </xdr:to>
    <xdr:sp macro="" textlink="">
      <xdr:nvSpPr>
        <xdr:cNvPr id="13" name="AutoShape 11" descr="Gloucester Rugby">
          <a:extLst>
            <a:ext uri="{FF2B5EF4-FFF2-40B4-BE49-F238E27FC236}">
              <a16:creationId xmlns:a16="http://schemas.microsoft.com/office/drawing/2014/main" id="{3A5BF314-0B73-42B1-8C3F-E8E4F745E349}"/>
            </a:ext>
          </a:extLst>
        </xdr:cNvPr>
        <xdr:cNvSpPr>
          <a:spLocks noChangeAspect="1" noChangeArrowheads="1"/>
        </xdr:cNvSpPr>
      </xdr:nvSpPr>
      <xdr:spPr bwMode="auto">
        <a:xfrm>
          <a:off x="6599208" y="436496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9</xdr:col>
      <xdr:colOff>336430</xdr:colOff>
      <xdr:row>17</xdr:row>
      <xdr:rowOff>163903</xdr:rowOff>
    </xdr:from>
    <xdr:ext cx="304800" cy="302284"/>
    <xdr:sp macro="" textlink="">
      <xdr:nvSpPr>
        <xdr:cNvPr id="14" name="AutoShape 10" descr="Wasps">
          <a:extLst>
            <a:ext uri="{FF2B5EF4-FFF2-40B4-BE49-F238E27FC236}">
              <a16:creationId xmlns:a16="http://schemas.microsoft.com/office/drawing/2014/main" id="{44005504-CEEE-4FC9-A28B-C2C85AC15E33}"/>
            </a:ext>
          </a:extLst>
        </xdr:cNvPr>
        <xdr:cNvSpPr>
          <a:spLocks noChangeAspect="1" noChangeArrowheads="1"/>
        </xdr:cNvSpPr>
      </xdr:nvSpPr>
      <xdr:spPr bwMode="auto">
        <a:xfrm>
          <a:off x="6935638" y="225149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20</xdr:row>
      <xdr:rowOff>0</xdr:rowOff>
    </xdr:from>
    <xdr:ext cx="304800" cy="302284"/>
    <xdr:sp macro="" textlink="">
      <xdr:nvSpPr>
        <xdr:cNvPr id="15" name="AutoShape 10" descr="Wasps">
          <a:extLst>
            <a:ext uri="{FF2B5EF4-FFF2-40B4-BE49-F238E27FC236}">
              <a16:creationId xmlns:a16="http://schemas.microsoft.com/office/drawing/2014/main" id="{4857D8D6-BF22-4F5B-A9C2-72C992EF7BD4}"/>
            </a:ext>
          </a:extLst>
        </xdr:cNvPr>
        <xdr:cNvSpPr>
          <a:spLocks noChangeAspect="1" noChangeArrowheads="1"/>
        </xdr:cNvSpPr>
      </xdr:nvSpPr>
      <xdr:spPr bwMode="auto">
        <a:xfrm>
          <a:off x="6599208" y="265693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20</xdr:row>
      <xdr:rowOff>0</xdr:rowOff>
    </xdr:from>
    <xdr:ext cx="304800" cy="302284"/>
    <xdr:sp macro="" textlink="">
      <xdr:nvSpPr>
        <xdr:cNvPr id="16" name="AutoShape 10" descr="Wasps">
          <a:extLst>
            <a:ext uri="{FF2B5EF4-FFF2-40B4-BE49-F238E27FC236}">
              <a16:creationId xmlns:a16="http://schemas.microsoft.com/office/drawing/2014/main" id="{BFDDF88E-1E71-4133-BD3C-2EF4C67CF74D}"/>
            </a:ext>
          </a:extLst>
        </xdr:cNvPr>
        <xdr:cNvSpPr>
          <a:spLocks noChangeAspect="1" noChangeArrowheads="1"/>
        </xdr:cNvSpPr>
      </xdr:nvSpPr>
      <xdr:spPr bwMode="auto">
        <a:xfrm>
          <a:off x="6599208" y="265693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21</xdr:row>
      <xdr:rowOff>0</xdr:rowOff>
    </xdr:from>
    <xdr:ext cx="304800" cy="302284"/>
    <xdr:sp macro="" textlink="">
      <xdr:nvSpPr>
        <xdr:cNvPr id="17" name="AutoShape 10" descr="Wasps">
          <a:extLst>
            <a:ext uri="{FF2B5EF4-FFF2-40B4-BE49-F238E27FC236}">
              <a16:creationId xmlns:a16="http://schemas.microsoft.com/office/drawing/2014/main" id="{E5EE8577-6910-4A57-A888-EB47C5AC1749}"/>
            </a:ext>
          </a:extLst>
        </xdr:cNvPr>
        <xdr:cNvSpPr>
          <a:spLocks noChangeAspect="1" noChangeArrowheads="1"/>
        </xdr:cNvSpPr>
      </xdr:nvSpPr>
      <xdr:spPr bwMode="auto">
        <a:xfrm>
          <a:off x="6599208" y="284671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21</xdr:row>
      <xdr:rowOff>0</xdr:rowOff>
    </xdr:from>
    <xdr:ext cx="304800" cy="302284"/>
    <xdr:sp macro="" textlink="">
      <xdr:nvSpPr>
        <xdr:cNvPr id="18" name="AutoShape 10" descr="Wasps">
          <a:extLst>
            <a:ext uri="{FF2B5EF4-FFF2-40B4-BE49-F238E27FC236}">
              <a16:creationId xmlns:a16="http://schemas.microsoft.com/office/drawing/2014/main" id="{8221994D-65E6-46C2-A1CF-B4781EFBA63D}"/>
            </a:ext>
          </a:extLst>
        </xdr:cNvPr>
        <xdr:cNvSpPr>
          <a:spLocks noChangeAspect="1" noChangeArrowheads="1"/>
        </xdr:cNvSpPr>
      </xdr:nvSpPr>
      <xdr:spPr bwMode="auto">
        <a:xfrm>
          <a:off x="6599208" y="284671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21</xdr:row>
      <xdr:rowOff>0</xdr:rowOff>
    </xdr:from>
    <xdr:ext cx="304800" cy="302284"/>
    <xdr:sp macro="" textlink="">
      <xdr:nvSpPr>
        <xdr:cNvPr id="19" name="AutoShape 10" descr="Wasps">
          <a:extLst>
            <a:ext uri="{FF2B5EF4-FFF2-40B4-BE49-F238E27FC236}">
              <a16:creationId xmlns:a16="http://schemas.microsoft.com/office/drawing/2014/main" id="{C45817C6-C81C-4C49-9790-B5477F26FB70}"/>
            </a:ext>
          </a:extLst>
        </xdr:cNvPr>
        <xdr:cNvSpPr>
          <a:spLocks noChangeAspect="1" noChangeArrowheads="1"/>
        </xdr:cNvSpPr>
      </xdr:nvSpPr>
      <xdr:spPr bwMode="auto">
        <a:xfrm>
          <a:off x="6599208" y="284671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8627</xdr:colOff>
      <xdr:row>21</xdr:row>
      <xdr:rowOff>94891</xdr:rowOff>
    </xdr:from>
    <xdr:ext cx="304800" cy="302284"/>
    <xdr:sp macro="" textlink="">
      <xdr:nvSpPr>
        <xdr:cNvPr id="20" name="AutoShape 10" descr="Wasps">
          <a:extLst>
            <a:ext uri="{FF2B5EF4-FFF2-40B4-BE49-F238E27FC236}">
              <a16:creationId xmlns:a16="http://schemas.microsoft.com/office/drawing/2014/main" id="{7CE79CB1-7424-476B-B395-43AA7C9A9E85}"/>
            </a:ext>
          </a:extLst>
        </xdr:cNvPr>
        <xdr:cNvSpPr>
          <a:spLocks noChangeAspect="1" noChangeArrowheads="1"/>
        </xdr:cNvSpPr>
      </xdr:nvSpPr>
      <xdr:spPr bwMode="auto">
        <a:xfrm>
          <a:off x="6607835" y="294160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</xdr:row>
      <xdr:rowOff>0</xdr:rowOff>
    </xdr:from>
    <xdr:ext cx="304800" cy="302284"/>
    <xdr:sp macro="" textlink="">
      <xdr:nvSpPr>
        <xdr:cNvPr id="21" name="AutoShape 10" descr="Wasps">
          <a:extLst>
            <a:ext uri="{FF2B5EF4-FFF2-40B4-BE49-F238E27FC236}">
              <a16:creationId xmlns:a16="http://schemas.microsoft.com/office/drawing/2014/main" id="{504B40A1-E248-486E-AF97-CCD81C9EDF57}"/>
            </a:ext>
          </a:extLst>
        </xdr:cNvPr>
        <xdr:cNvSpPr>
          <a:spLocks noChangeAspect="1" noChangeArrowheads="1"/>
        </xdr:cNvSpPr>
      </xdr:nvSpPr>
      <xdr:spPr bwMode="auto">
        <a:xfrm>
          <a:off x="6599208" y="303649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</xdr:row>
      <xdr:rowOff>0</xdr:rowOff>
    </xdr:from>
    <xdr:ext cx="304800" cy="302284"/>
    <xdr:sp macro="" textlink="">
      <xdr:nvSpPr>
        <xdr:cNvPr id="22" name="AutoShape 10" descr="Wasps">
          <a:extLst>
            <a:ext uri="{FF2B5EF4-FFF2-40B4-BE49-F238E27FC236}">
              <a16:creationId xmlns:a16="http://schemas.microsoft.com/office/drawing/2014/main" id="{4542411A-BF5F-4248-9CFA-E27D6F467C0A}"/>
            </a:ext>
          </a:extLst>
        </xdr:cNvPr>
        <xdr:cNvSpPr>
          <a:spLocks noChangeAspect="1" noChangeArrowheads="1"/>
        </xdr:cNvSpPr>
      </xdr:nvSpPr>
      <xdr:spPr bwMode="auto">
        <a:xfrm>
          <a:off x="6599208" y="303649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23</xdr:row>
      <xdr:rowOff>0</xdr:rowOff>
    </xdr:from>
    <xdr:ext cx="304800" cy="302284"/>
    <xdr:sp macro="" textlink="">
      <xdr:nvSpPr>
        <xdr:cNvPr id="23" name="AutoShape 10" descr="Wasps">
          <a:extLst>
            <a:ext uri="{FF2B5EF4-FFF2-40B4-BE49-F238E27FC236}">
              <a16:creationId xmlns:a16="http://schemas.microsoft.com/office/drawing/2014/main" id="{14095615-FCA7-4D6A-AB89-FC1C3913727C}"/>
            </a:ext>
          </a:extLst>
        </xdr:cNvPr>
        <xdr:cNvSpPr>
          <a:spLocks noChangeAspect="1" noChangeArrowheads="1"/>
        </xdr:cNvSpPr>
      </xdr:nvSpPr>
      <xdr:spPr bwMode="auto">
        <a:xfrm>
          <a:off x="6599208" y="322627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23</xdr:row>
      <xdr:rowOff>0</xdr:rowOff>
    </xdr:from>
    <xdr:ext cx="304800" cy="302284"/>
    <xdr:sp macro="" textlink="">
      <xdr:nvSpPr>
        <xdr:cNvPr id="24" name="AutoShape 10" descr="Wasps">
          <a:extLst>
            <a:ext uri="{FF2B5EF4-FFF2-40B4-BE49-F238E27FC236}">
              <a16:creationId xmlns:a16="http://schemas.microsoft.com/office/drawing/2014/main" id="{0B2522BC-A400-4D3A-BF27-E473A78FA311}"/>
            </a:ext>
          </a:extLst>
        </xdr:cNvPr>
        <xdr:cNvSpPr>
          <a:spLocks noChangeAspect="1" noChangeArrowheads="1"/>
        </xdr:cNvSpPr>
      </xdr:nvSpPr>
      <xdr:spPr bwMode="auto">
        <a:xfrm>
          <a:off x="6599208" y="322627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</xdr:row>
      <xdr:rowOff>0</xdr:rowOff>
    </xdr:from>
    <xdr:ext cx="304800" cy="302284"/>
    <xdr:sp macro="" textlink="">
      <xdr:nvSpPr>
        <xdr:cNvPr id="25" name="AutoShape 10" descr="Wasps">
          <a:extLst>
            <a:ext uri="{FF2B5EF4-FFF2-40B4-BE49-F238E27FC236}">
              <a16:creationId xmlns:a16="http://schemas.microsoft.com/office/drawing/2014/main" id="{A1F450BA-938B-4508-9668-734EF27775E2}"/>
            </a:ext>
          </a:extLst>
        </xdr:cNvPr>
        <xdr:cNvSpPr>
          <a:spLocks noChangeAspect="1" noChangeArrowheads="1"/>
        </xdr:cNvSpPr>
      </xdr:nvSpPr>
      <xdr:spPr bwMode="auto">
        <a:xfrm>
          <a:off x="6599208" y="341606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</xdr:row>
      <xdr:rowOff>0</xdr:rowOff>
    </xdr:from>
    <xdr:ext cx="304800" cy="302284"/>
    <xdr:sp macro="" textlink="">
      <xdr:nvSpPr>
        <xdr:cNvPr id="26" name="AutoShape 10" descr="Wasps">
          <a:extLst>
            <a:ext uri="{FF2B5EF4-FFF2-40B4-BE49-F238E27FC236}">
              <a16:creationId xmlns:a16="http://schemas.microsoft.com/office/drawing/2014/main" id="{D72D2D59-F81E-4DC2-9FA4-6A9C111D103E}"/>
            </a:ext>
          </a:extLst>
        </xdr:cNvPr>
        <xdr:cNvSpPr>
          <a:spLocks noChangeAspect="1" noChangeArrowheads="1"/>
        </xdr:cNvSpPr>
      </xdr:nvSpPr>
      <xdr:spPr bwMode="auto">
        <a:xfrm>
          <a:off x="6599208" y="341606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304800" cy="302284"/>
    <xdr:sp macro="" textlink="">
      <xdr:nvSpPr>
        <xdr:cNvPr id="27" name="AutoShape 10" descr="Wasps">
          <a:extLst>
            <a:ext uri="{FF2B5EF4-FFF2-40B4-BE49-F238E27FC236}">
              <a16:creationId xmlns:a16="http://schemas.microsoft.com/office/drawing/2014/main" id="{72824E3E-2DDF-45CF-A031-F89786111CC3}"/>
            </a:ext>
          </a:extLst>
        </xdr:cNvPr>
        <xdr:cNvSpPr>
          <a:spLocks noChangeAspect="1" noChangeArrowheads="1"/>
        </xdr:cNvSpPr>
      </xdr:nvSpPr>
      <xdr:spPr bwMode="auto">
        <a:xfrm>
          <a:off x="6599208" y="360584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304800" cy="302284"/>
    <xdr:sp macro="" textlink="">
      <xdr:nvSpPr>
        <xdr:cNvPr id="28" name="AutoShape 10" descr="Wasps">
          <a:extLst>
            <a:ext uri="{FF2B5EF4-FFF2-40B4-BE49-F238E27FC236}">
              <a16:creationId xmlns:a16="http://schemas.microsoft.com/office/drawing/2014/main" id="{F059AEEB-9E8B-453F-81FA-750D61F8A69D}"/>
            </a:ext>
          </a:extLst>
        </xdr:cNvPr>
        <xdr:cNvSpPr>
          <a:spLocks noChangeAspect="1" noChangeArrowheads="1"/>
        </xdr:cNvSpPr>
      </xdr:nvSpPr>
      <xdr:spPr bwMode="auto">
        <a:xfrm>
          <a:off x="6599208" y="360584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304800" cy="302284"/>
    <xdr:sp macro="" textlink="">
      <xdr:nvSpPr>
        <xdr:cNvPr id="29" name="AutoShape 10" descr="Wasps">
          <a:extLst>
            <a:ext uri="{FF2B5EF4-FFF2-40B4-BE49-F238E27FC236}">
              <a16:creationId xmlns:a16="http://schemas.microsoft.com/office/drawing/2014/main" id="{0231CAD0-FE7D-4784-A1E0-45244B69F6C2}"/>
            </a:ext>
          </a:extLst>
        </xdr:cNvPr>
        <xdr:cNvSpPr>
          <a:spLocks noChangeAspect="1" noChangeArrowheads="1"/>
        </xdr:cNvSpPr>
      </xdr:nvSpPr>
      <xdr:spPr bwMode="auto">
        <a:xfrm>
          <a:off x="6599208" y="379562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304800" cy="302284"/>
    <xdr:sp macro="" textlink="">
      <xdr:nvSpPr>
        <xdr:cNvPr id="30" name="AutoShape 10" descr="Wasps">
          <a:extLst>
            <a:ext uri="{FF2B5EF4-FFF2-40B4-BE49-F238E27FC236}">
              <a16:creationId xmlns:a16="http://schemas.microsoft.com/office/drawing/2014/main" id="{E2D138B5-CDF8-4EB9-9845-18B43098C5B2}"/>
            </a:ext>
          </a:extLst>
        </xdr:cNvPr>
        <xdr:cNvSpPr>
          <a:spLocks noChangeAspect="1" noChangeArrowheads="1"/>
        </xdr:cNvSpPr>
      </xdr:nvSpPr>
      <xdr:spPr bwMode="auto">
        <a:xfrm>
          <a:off x="6599208" y="379562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304800" cy="302284"/>
    <xdr:sp macro="" textlink="">
      <xdr:nvSpPr>
        <xdr:cNvPr id="31" name="AutoShape 10" descr="Wasps">
          <a:extLst>
            <a:ext uri="{FF2B5EF4-FFF2-40B4-BE49-F238E27FC236}">
              <a16:creationId xmlns:a16="http://schemas.microsoft.com/office/drawing/2014/main" id="{CD8A9EF9-7ED4-4793-AB14-5B3459C004C9}"/>
            </a:ext>
          </a:extLst>
        </xdr:cNvPr>
        <xdr:cNvSpPr>
          <a:spLocks noChangeAspect="1" noChangeArrowheads="1"/>
        </xdr:cNvSpPr>
      </xdr:nvSpPr>
      <xdr:spPr bwMode="auto">
        <a:xfrm>
          <a:off x="6599208" y="398540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304800" cy="302284"/>
    <xdr:sp macro="" textlink="">
      <xdr:nvSpPr>
        <xdr:cNvPr id="32" name="AutoShape 10" descr="Wasps">
          <a:extLst>
            <a:ext uri="{FF2B5EF4-FFF2-40B4-BE49-F238E27FC236}">
              <a16:creationId xmlns:a16="http://schemas.microsoft.com/office/drawing/2014/main" id="{C39AA525-BEE4-4B1D-B16F-2EE9D401D9E7}"/>
            </a:ext>
          </a:extLst>
        </xdr:cNvPr>
        <xdr:cNvSpPr>
          <a:spLocks noChangeAspect="1" noChangeArrowheads="1"/>
        </xdr:cNvSpPr>
      </xdr:nvSpPr>
      <xdr:spPr bwMode="auto">
        <a:xfrm>
          <a:off x="6599208" y="398540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34</xdr:row>
      <xdr:rowOff>0</xdr:rowOff>
    </xdr:from>
    <xdr:ext cx="304800" cy="302284"/>
    <xdr:sp macro="" textlink="">
      <xdr:nvSpPr>
        <xdr:cNvPr id="33" name="AutoShape 10" descr="Wasps">
          <a:extLst>
            <a:ext uri="{FF2B5EF4-FFF2-40B4-BE49-F238E27FC236}">
              <a16:creationId xmlns:a16="http://schemas.microsoft.com/office/drawing/2014/main" id="{4FF7F59C-6D42-4DDF-B362-95FC5A55AD6F}"/>
            </a:ext>
          </a:extLst>
        </xdr:cNvPr>
        <xdr:cNvSpPr>
          <a:spLocks noChangeAspect="1" noChangeArrowheads="1"/>
        </xdr:cNvSpPr>
      </xdr:nvSpPr>
      <xdr:spPr bwMode="auto">
        <a:xfrm>
          <a:off x="6599208" y="417518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</xdr:row>
      <xdr:rowOff>0</xdr:rowOff>
    </xdr:from>
    <xdr:ext cx="304800" cy="303003"/>
    <xdr:sp macro="" textlink="">
      <xdr:nvSpPr>
        <xdr:cNvPr id="34" name="AutoShape 1" descr="Bristol Bears">
          <a:extLst>
            <a:ext uri="{FF2B5EF4-FFF2-40B4-BE49-F238E27FC236}">
              <a16:creationId xmlns:a16="http://schemas.microsoft.com/office/drawing/2014/main" id="{FDCF51AC-5EE5-464C-8BB4-0B8B76E77C3C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569343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4</xdr:row>
      <xdr:rowOff>0</xdr:rowOff>
    </xdr:from>
    <xdr:ext cx="304800" cy="303002"/>
    <xdr:sp macro="" textlink="">
      <xdr:nvSpPr>
        <xdr:cNvPr id="35" name="AutoShape 2" descr="Exeter Chiefs">
          <a:extLst>
            <a:ext uri="{FF2B5EF4-FFF2-40B4-BE49-F238E27FC236}">
              <a16:creationId xmlns:a16="http://schemas.microsoft.com/office/drawing/2014/main" id="{C3D01FD3-2334-4D34-81AC-EA90802B7ABB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759125"/>
          <a:ext cx="304800" cy="303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3003"/>
    <xdr:sp macro="" textlink="">
      <xdr:nvSpPr>
        <xdr:cNvPr id="36" name="AutoShape 3" descr="Harlequins">
          <a:extLst>
            <a:ext uri="{FF2B5EF4-FFF2-40B4-BE49-F238E27FC236}">
              <a16:creationId xmlns:a16="http://schemas.microsoft.com/office/drawing/2014/main" id="{CC61ADC6-D580-4ADD-9031-0FC6F3AE23CE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948906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3003"/>
    <xdr:sp macro="" textlink="">
      <xdr:nvSpPr>
        <xdr:cNvPr id="37" name="AutoShape 4" descr="Sale Sharks">
          <a:extLst>
            <a:ext uri="{FF2B5EF4-FFF2-40B4-BE49-F238E27FC236}">
              <a16:creationId xmlns:a16="http://schemas.microsoft.com/office/drawing/2014/main" id="{D1B39B6B-3380-4696-B8AB-E524F4B69CA4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1138687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13</xdr:row>
      <xdr:rowOff>0</xdr:rowOff>
    </xdr:from>
    <xdr:ext cx="304800" cy="303003"/>
    <xdr:sp macro="" textlink="">
      <xdr:nvSpPr>
        <xdr:cNvPr id="38" name="AutoShape 5" descr="Northampton Saints">
          <a:extLst>
            <a:ext uri="{FF2B5EF4-FFF2-40B4-BE49-F238E27FC236}">
              <a16:creationId xmlns:a16="http://schemas.microsoft.com/office/drawing/2014/main" id="{AA9ECE9A-E4F4-4430-A6A1-D4DCEEC83A10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1328468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14</xdr:row>
      <xdr:rowOff>0</xdr:rowOff>
    </xdr:from>
    <xdr:ext cx="304800" cy="303003"/>
    <xdr:sp macro="" textlink="">
      <xdr:nvSpPr>
        <xdr:cNvPr id="39" name="AutoShape 6" descr="London Irish">
          <a:extLst>
            <a:ext uri="{FF2B5EF4-FFF2-40B4-BE49-F238E27FC236}">
              <a16:creationId xmlns:a16="http://schemas.microsoft.com/office/drawing/2014/main" id="{ADA94237-5B82-4BAD-A0BF-D185B46C134D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1518249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15</xdr:row>
      <xdr:rowOff>0</xdr:rowOff>
    </xdr:from>
    <xdr:ext cx="304800" cy="303003"/>
    <xdr:sp macro="" textlink="">
      <xdr:nvSpPr>
        <xdr:cNvPr id="40" name="AutoShape 7" descr="Leicester Tigers">
          <a:extLst>
            <a:ext uri="{FF2B5EF4-FFF2-40B4-BE49-F238E27FC236}">
              <a16:creationId xmlns:a16="http://schemas.microsoft.com/office/drawing/2014/main" id="{E83F81B3-4C20-47F9-9AA4-DFC655214B16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170803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16</xdr:row>
      <xdr:rowOff>0</xdr:rowOff>
    </xdr:from>
    <xdr:ext cx="304800" cy="303003"/>
    <xdr:sp macro="" textlink="">
      <xdr:nvSpPr>
        <xdr:cNvPr id="41" name="AutoShape 8" descr="Newcastle Falcons">
          <a:extLst>
            <a:ext uri="{FF2B5EF4-FFF2-40B4-BE49-F238E27FC236}">
              <a16:creationId xmlns:a16="http://schemas.microsoft.com/office/drawing/2014/main" id="{A14FEAEA-169B-4759-9A43-E6E3AC5F1CF9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1897811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16</xdr:row>
      <xdr:rowOff>19050</xdr:rowOff>
    </xdr:from>
    <xdr:ext cx="295275" cy="303003"/>
    <xdr:sp macro="" textlink="">
      <xdr:nvSpPr>
        <xdr:cNvPr id="42" name="AutoShape 9" descr="Bath Rugby">
          <a:extLst>
            <a:ext uri="{FF2B5EF4-FFF2-40B4-BE49-F238E27FC236}">
              <a16:creationId xmlns:a16="http://schemas.microsoft.com/office/drawing/2014/main" id="{E6ADFAB1-C835-4692-B3FA-CF240644ADB7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1916861"/>
          <a:ext cx="295275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18</xdr:row>
      <xdr:rowOff>0</xdr:rowOff>
    </xdr:from>
    <xdr:ext cx="304800" cy="303002"/>
    <xdr:sp macro="" textlink="">
      <xdr:nvSpPr>
        <xdr:cNvPr id="43" name="AutoShape 10" descr="Wasps">
          <a:extLst>
            <a:ext uri="{FF2B5EF4-FFF2-40B4-BE49-F238E27FC236}">
              <a16:creationId xmlns:a16="http://schemas.microsoft.com/office/drawing/2014/main" id="{1AE31D7E-EA7A-4929-B2B0-94BC25D7A102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2277374"/>
          <a:ext cx="304800" cy="303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336430</xdr:colOff>
      <xdr:row>18</xdr:row>
      <xdr:rowOff>163903</xdr:rowOff>
    </xdr:from>
    <xdr:ext cx="304800" cy="302284"/>
    <xdr:sp macro="" textlink="">
      <xdr:nvSpPr>
        <xdr:cNvPr id="44" name="AutoShape 10" descr="Wasps">
          <a:extLst>
            <a:ext uri="{FF2B5EF4-FFF2-40B4-BE49-F238E27FC236}">
              <a16:creationId xmlns:a16="http://schemas.microsoft.com/office/drawing/2014/main" id="{135BD010-93C6-4358-8453-93782375D4E9}"/>
            </a:ext>
          </a:extLst>
        </xdr:cNvPr>
        <xdr:cNvSpPr>
          <a:spLocks noChangeAspect="1" noChangeArrowheads="1"/>
        </xdr:cNvSpPr>
      </xdr:nvSpPr>
      <xdr:spPr bwMode="auto">
        <a:xfrm>
          <a:off x="11602528" y="244127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20</xdr:row>
      <xdr:rowOff>0</xdr:rowOff>
    </xdr:from>
    <xdr:ext cx="304800" cy="302284"/>
    <xdr:sp macro="" textlink="">
      <xdr:nvSpPr>
        <xdr:cNvPr id="45" name="AutoShape 10" descr="Wasps">
          <a:extLst>
            <a:ext uri="{FF2B5EF4-FFF2-40B4-BE49-F238E27FC236}">
              <a16:creationId xmlns:a16="http://schemas.microsoft.com/office/drawing/2014/main" id="{B67B552A-4DCB-43E2-9D1A-977CD62A1B9D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265693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21</xdr:row>
      <xdr:rowOff>0</xdr:rowOff>
    </xdr:from>
    <xdr:ext cx="304800" cy="302284"/>
    <xdr:sp macro="" textlink="">
      <xdr:nvSpPr>
        <xdr:cNvPr id="46" name="AutoShape 10" descr="Wasps">
          <a:extLst>
            <a:ext uri="{FF2B5EF4-FFF2-40B4-BE49-F238E27FC236}">
              <a16:creationId xmlns:a16="http://schemas.microsoft.com/office/drawing/2014/main" id="{7928BAE2-60B4-4B96-8393-FE5F314CFD0E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284671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21</xdr:row>
      <xdr:rowOff>0</xdr:rowOff>
    </xdr:from>
    <xdr:ext cx="304800" cy="302284"/>
    <xdr:sp macro="" textlink="">
      <xdr:nvSpPr>
        <xdr:cNvPr id="47" name="AutoShape 10" descr="Wasps">
          <a:extLst>
            <a:ext uri="{FF2B5EF4-FFF2-40B4-BE49-F238E27FC236}">
              <a16:creationId xmlns:a16="http://schemas.microsoft.com/office/drawing/2014/main" id="{83D5B353-7253-41CD-9879-253242982C43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284671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23</xdr:row>
      <xdr:rowOff>0</xdr:rowOff>
    </xdr:from>
    <xdr:ext cx="304800" cy="302284"/>
    <xdr:sp macro="" textlink="">
      <xdr:nvSpPr>
        <xdr:cNvPr id="48" name="AutoShape 10" descr="Wasps">
          <a:extLst>
            <a:ext uri="{FF2B5EF4-FFF2-40B4-BE49-F238E27FC236}">
              <a16:creationId xmlns:a16="http://schemas.microsoft.com/office/drawing/2014/main" id="{A016056B-7CF9-4D55-873E-CF2E74B47EB3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322627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23</xdr:row>
      <xdr:rowOff>0</xdr:rowOff>
    </xdr:from>
    <xdr:ext cx="304800" cy="302284"/>
    <xdr:sp macro="" textlink="">
      <xdr:nvSpPr>
        <xdr:cNvPr id="49" name="AutoShape 10" descr="Wasps">
          <a:extLst>
            <a:ext uri="{FF2B5EF4-FFF2-40B4-BE49-F238E27FC236}">
              <a16:creationId xmlns:a16="http://schemas.microsoft.com/office/drawing/2014/main" id="{FED969EF-08FD-4F3C-B1EF-5FF5D534A89F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322627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23</xdr:row>
      <xdr:rowOff>0</xdr:rowOff>
    </xdr:from>
    <xdr:ext cx="304800" cy="302284"/>
    <xdr:sp macro="" textlink="">
      <xdr:nvSpPr>
        <xdr:cNvPr id="50" name="AutoShape 10" descr="Wasps">
          <a:extLst>
            <a:ext uri="{FF2B5EF4-FFF2-40B4-BE49-F238E27FC236}">
              <a16:creationId xmlns:a16="http://schemas.microsoft.com/office/drawing/2014/main" id="{E62FCA17-DD9E-4E92-9CA1-297AE53B381C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322627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23</xdr:row>
      <xdr:rowOff>0</xdr:rowOff>
    </xdr:from>
    <xdr:ext cx="304800" cy="302284"/>
    <xdr:sp macro="" textlink="">
      <xdr:nvSpPr>
        <xdr:cNvPr id="51" name="AutoShape 10" descr="Wasps">
          <a:extLst>
            <a:ext uri="{FF2B5EF4-FFF2-40B4-BE49-F238E27FC236}">
              <a16:creationId xmlns:a16="http://schemas.microsoft.com/office/drawing/2014/main" id="{8AA7D9F0-FDB6-452C-A49F-BB55ADECDDDC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322627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24</xdr:row>
      <xdr:rowOff>0</xdr:rowOff>
    </xdr:from>
    <xdr:ext cx="304800" cy="302284"/>
    <xdr:sp macro="" textlink="">
      <xdr:nvSpPr>
        <xdr:cNvPr id="52" name="AutoShape 10" descr="Wasps">
          <a:extLst>
            <a:ext uri="{FF2B5EF4-FFF2-40B4-BE49-F238E27FC236}">
              <a16:creationId xmlns:a16="http://schemas.microsoft.com/office/drawing/2014/main" id="{49CF60E2-9404-4593-A30A-9F82DBBBAEF2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341606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24</xdr:row>
      <xdr:rowOff>0</xdr:rowOff>
    </xdr:from>
    <xdr:ext cx="304800" cy="302284"/>
    <xdr:sp macro="" textlink="">
      <xdr:nvSpPr>
        <xdr:cNvPr id="53" name="AutoShape 10" descr="Wasps">
          <a:extLst>
            <a:ext uri="{FF2B5EF4-FFF2-40B4-BE49-F238E27FC236}">
              <a16:creationId xmlns:a16="http://schemas.microsoft.com/office/drawing/2014/main" id="{AD7E4FFA-B2EE-4E29-BB59-BF5260B3885C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341606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25</xdr:row>
      <xdr:rowOff>0</xdr:rowOff>
    </xdr:from>
    <xdr:ext cx="304800" cy="302284"/>
    <xdr:sp macro="" textlink="">
      <xdr:nvSpPr>
        <xdr:cNvPr id="54" name="AutoShape 10" descr="Wasps">
          <a:extLst>
            <a:ext uri="{FF2B5EF4-FFF2-40B4-BE49-F238E27FC236}">
              <a16:creationId xmlns:a16="http://schemas.microsoft.com/office/drawing/2014/main" id="{F189FCE2-0B68-443A-AC5F-93FCD88CAB22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360584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25</xdr:row>
      <xdr:rowOff>0</xdr:rowOff>
    </xdr:from>
    <xdr:ext cx="304800" cy="302284"/>
    <xdr:sp macro="" textlink="">
      <xdr:nvSpPr>
        <xdr:cNvPr id="55" name="AutoShape 10" descr="Wasps">
          <a:extLst>
            <a:ext uri="{FF2B5EF4-FFF2-40B4-BE49-F238E27FC236}">
              <a16:creationId xmlns:a16="http://schemas.microsoft.com/office/drawing/2014/main" id="{5E75D486-614B-41E1-88DB-DD1844E257CC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360584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26</xdr:row>
      <xdr:rowOff>0</xdr:rowOff>
    </xdr:from>
    <xdr:ext cx="304800" cy="302284"/>
    <xdr:sp macro="" textlink="">
      <xdr:nvSpPr>
        <xdr:cNvPr id="56" name="AutoShape 10" descr="Wasps">
          <a:extLst>
            <a:ext uri="{FF2B5EF4-FFF2-40B4-BE49-F238E27FC236}">
              <a16:creationId xmlns:a16="http://schemas.microsoft.com/office/drawing/2014/main" id="{CB5B22F6-69A5-4823-AF0D-2A6F810C6BC4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379562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26</xdr:row>
      <xdr:rowOff>0</xdr:rowOff>
    </xdr:from>
    <xdr:ext cx="304800" cy="302284"/>
    <xdr:sp macro="" textlink="">
      <xdr:nvSpPr>
        <xdr:cNvPr id="57" name="AutoShape 10" descr="Wasps">
          <a:extLst>
            <a:ext uri="{FF2B5EF4-FFF2-40B4-BE49-F238E27FC236}">
              <a16:creationId xmlns:a16="http://schemas.microsoft.com/office/drawing/2014/main" id="{0F40CD84-A44A-4185-B78C-4A07A7AC95DE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379562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33</xdr:row>
      <xdr:rowOff>0</xdr:rowOff>
    </xdr:from>
    <xdr:ext cx="304800" cy="302284"/>
    <xdr:sp macro="" textlink="">
      <xdr:nvSpPr>
        <xdr:cNvPr id="58" name="AutoShape 10" descr="Wasps">
          <a:extLst>
            <a:ext uri="{FF2B5EF4-FFF2-40B4-BE49-F238E27FC236}">
              <a16:creationId xmlns:a16="http://schemas.microsoft.com/office/drawing/2014/main" id="{4029DFDE-E9E6-4ADC-847E-F476FBAC998A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398540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33</xdr:row>
      <xdr:rowOff>0</xdr:rowOff>
    </xdr:from>
    <xdr:ext cx="304800" cy="302284"/>
    <xdr:sp macro="" textlink="">
      <xdr:nvSpPr>
        <xdr:cNvPr id="59" name="AutoShape 10" descr="Wasps">
          <a:extLst>
            <a:ext uri="{FF2B5EF4-FFF2-40B4-BE49-F238E27FC236}">
              <a16:creationId xmlns:a16="http://schemas.microsoft.com/office/drawing/2014/main" id="{1627CE04-1DDF-442B-BBA9-6134CF6CBEE4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398540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34</xdr:row>
      <xdr:rowOff>0</xdr:rowOff>
    </xdr:from>
    <xdr:ext cx="304800" cy="302284"/>
    <xdr:sp macro="" textlink="">
      <xdr:nvSpPr>
        <xdr:cNvPr id="60" name="AutoShape 10" descr="Wasps">
          <a:extLst>
            <a:ext uri="{FF2B5EF4-FFF2-40B4-BE49-F238E27FC236}">
              <a16:creationId xmlns:a16="http://schemas.microsoft.com/office/drawing/2014/main" id="{B875D23C-D2E2-47EA-A30E-BCA2DA9B0D25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417518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34</xdr:row>
      <xdr:rowOff>0</xdr:rowOff>
    </xdr:from>
    <xdr:ext cx="304800" cy="302284"/>
    <xdr:sp macro="" textlink="">
      <xdr:nvSpPr>
        <xdr:cNvPr id="61" name="AutoShape 10" descr="Wasps">
          <a:extLst>
            <a:ext uri="{FF2B5EF4-FFF2-40B4-BE49-F238E27FC236}">
              <a16:creationId xmlns:a16="http://schemas.microsoft.com/office/drawing/2014/main" id="{1746FE98-20E5-43F8-A623-54AF44C8CA89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417518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35</xdr:row>
      <xdr:rowOff>0</xdr:rowOff>
    </xdr:from>
    <xdr:ext cx="304800" cy="302284"/>
    <xdr:sp macro="" textlink="">
      <xdr:nvSpPr>
        <xdr:cNvPr id="62" name="AutoShape 10" descr="Wasps">
          <a:extLst>
            <a:ext uri="{FF2B5EF4-FFF2-40B4-BE49-F238E27FC236}">
              <a16:creationId xmlns:a16="http://schemas.microsoft.com/office/drawing/2014/main" id="{24CFA6C5-5AA9-4BB5-B73D-1DA6671337F8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436496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35</xdr:row>
      <xdr:rowOff>0</xdr:rowOff>
    </xdr:from>
    <xdr:ext cx="304800" cy="302284"/>
    <xdr:sp macro="" textlink="">
      <xdr:nvSpPr>
        <xdr:cNvPr id="63" name="AutoShape 10" descr="Wasps">
          <a:extLst>
            <a:ext uri="{FF2B5EF4-FFF2-40B4-BE49-F238E27FC236}">
              <a16:creationId xmlns:a16="http://schemas.microsoft.com/office/drawing/2014/main" id="{5659D250-5095-408B-B1AD-33FA8A8206DB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436496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36</xdr:row>
      <xdr:rowOff>0</xdr:rowOff>
    </xdr:from>
    <xdr:ext cx="304800" cy="302284"/>
    <xdr:sp macro="" textlink="">
      <xdr:nvSpPr>
        <xdr:cNvPr id="64" name="AutoShape 10" descr="Wasps">
          <a:extLst>
            <a:ext uri="{FF2B5EF4-FFF2-40B4-BE49-F238E27FC236}">
              <a16:creationId xmlns:a16="http://schemas.microsoft.com/office/drawing/2014/main" id="{5537F08A-60AF-4876-AD22-347E23BD6EBC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455474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42</xdr:row>
      <xdr:rowOff>0</xdr:rowOff>
    </xdr:from>
    <xdr:ext cx="304800" cy="303002"/>
    <xdr:sp macro="" textlink="">
      <xdr:nvSpPr>
        <xdr:cNvPr id="65" name="AutoShape 2" descr="Exeter Chiefs">
          <a:extLst>
            <a:ext uri="{FF2B5EF4-FFF2-40B4-BE49-F238E27FC236}">
              <a16:creationId xmlns:a16="http://schemas.microsoft.com/office/drawing/2014/main" id="{2FDE5FF0-7D9D-45B5-BB06-7356735AAA20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5693434"/>
          <a:ext cx="304800" cy="303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43</xdr:row>
      <xdr:rowOff>0</xdr:rowOff>
    </xdr:from>
    <xdr:ext cx="304800" cy="303003"/>
    <xdr:sp macro="" textlink="">
      <xdr:nvSpPr>
        <xdr:cNvPr id="66" name="AutoShape 3" descr="Harlequins">
          <a:extLst>
            <a:ext uri="{FF2B5EF4-FFF2-40B4-BE49-F238E27FC236}">
              <a16:creationId xmlns:a16="http://schemas.microsoft.com/office/drawing/2014/main" id="{3D2AB523-FFAF-4B87-9940-74EA4FEC67FE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5883215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44</xdr:row>
      <xdr:rowOff>0</xdr:rowOff>
    </xdr:from>
    <xdr:ext cx="304800" cy="303003"/>
    <xdr:sp macro="" textlink="">
      <xdr:nvSpPr>
        <xdr:cNvPr id="67" name="AutoShape 4" descr="Sale Sharks">
          <a:extLst>
            <a:ext uri="{FF2B5EF4-FFF2-40B4-BE49-F238E27FC236}">
              <a16:creationId xmlns:a16="http://schemas.microsoft.com/office/drawing/2014/main" id="{E2EB0C57-C6CF-4330-8296-6387D868FBEF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6072996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51</xdr:row>
      <xdr:rowOff>0</xdr:rowOff>
    </xdr:from>
    <xdr:ext cx="304800" cy="303003"/>
    <xdr:sp macro="" textlink="">
      <xdr:nvSpPr>
        <xdr:cNvPr id="68" name="AutoShape 5" descr="Northampton Saints">
          <a:extLst>
            <a:ext uri="{FF2B5EF4-FFF2-40B4-BE49-F238E27FC236}">
              <a16:creationId xmlns:a16="http://schemas.microsoft.com/office/drawing/2014/main" id="{CB11FF99-68B3-4206-A9F4-598AF18AE295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6262777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52</xdr:row>
      <xdr:rowOff>0</xdr:rowOff>
    </xdr:from>
    <xdr:ext cx="304800" cy="303003"/>
    <xdr:sp macro="" textlink="">
      <xdr:nvSpPr>
        <xdr:cNvPr id="69" name="AutoShape 6" descr="London Irish">
          <a:extLst>
            <a:ext uri="{FF2B5EF4-FFF2-40B4-BE49-F238E27FC236}">
              <a16:creationId xmlns:a16="http://schemas.microsoft.com/office/drawing/2014/main" id="{0CED14E1-F0B2-4E07-A2C5-0BFEEC120995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6452558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53</xdr:row>
      <xdr:rowOff>0</xdr:rowOff>
    </xdr:from>
    <xdr:ext cx="304800" cy="303003"/>
    <xdr:sp macro="" textlink="">
      <xdr:nvSpPr>
        <xdr:cNvPr id="70" name="AutoShape 7" descr="Leicester Tigers">
          <a:extLst>
            <a:ext uri="{FF2B5EF4-FFF2-40B4-BE49-F238E27FC236}">
              <a16:creationId xmlns:a16="http://schemas.microsoft.com/office/drawing/2014/main" id="{33EACD39-87E2-41E9-953A-6FF2885CBD37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664234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54</xdr:row>
      <xdr:rowOff>0</xdr:rowOff>
    </xdr:from>
    <xdr:ext cx="304800" cy="303003"/>
    <xdr:sp macro="" textlink="">
      <xdr:nvSpPr>
        <xdr:cNvPr id="71" name="AutoShape 8" descr="Newcastle Falcons">
          <a:extLst>
            <a:ext uri="{FF2B5EF4-FFF2-40B4-BE49-F238E27FC236}">
              <a16:creationId xmlns:a16="http://schemas.microsoft.com/office/drawing/2014/main" id="{DC9D782E-5623-4F76-B1BA-AF935A862B5D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6832121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304800" cy="302284"/>
    <xdr:sp macro="" textlink="">
      <xdr:nvSpPr>
        <xdr:cNvPr id="72" name="AutoShape 11" descr="Gloucester Rugby">
          <a:extLst>
            <a:ext uri="{FF2B5EF4-FFF2-40B4-BE49-F238E27FC236}">
              <a16:creationId xmlns:a16="http://schemas.microsoft.com/office/drawing/2014/main" id="{2DF82811-DF83-45AD-87F1-AC82ECF49B4A}"/>
            </a:ext>
          </a:extLst>
        </xdr:cNvPr>
        <xdr:cNvSpPr>
          <a:spLocks noChangeAspect="1" noChangeArrowheads="1"/>
        </xdr:cNvSpPr>
      </xdr:nvSpPr>
      <xdr:spPr bwMode="auto">
        <a:xfrm>
          <a:off x="6599208" y="683212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172530</xdr:colOff>
      <xdr:row>37</xdr:row>
      <xdr:rowOff>172528</xdr:rowOff>
    </xdr:from>
    <xdr:ext cx="304800" cy="302284"/>
    <xdr:sp macro="" textlink="">
      <xdr:nvSpPr>
        <xdr:cNvPr id="73" name="AutoShape 10" descr="Wasps">
          <a:extLst>
            <a:ext uri="{FF2B5EF4-FFF2-40B4-BE49-F238E27FC236}">
              <a16:creationId xmlns:a16="http://schemas.microsoft.com/office/drawing/2014/main" id="{D037F7F8-2B30-41A5-8FA9-0DAA96109AF1}"/>
            </a:ext>
          </a:extLst>
        </xdr:cNvPr>
        <xdr:cNvSpPr>
          <a:spLocks noChangeAspect="1" noChangeArrowheads="1"/>
        </xdr:cNvSpPr>
      </xdr:nvSpPr>
      <xdr:spPr bwMode="auto">
        <a:xfrm>
          <a:off x="8264107" y="491705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39</xdr:row>
      <xdr:rowOff>0</xdr:rowOff>
    </xdr:from>
    <xdr:ext cx="304800" cy="302284"/>
    <xdr:sp macro="" textlink="">
      <xdr:nvSpPr>
        <xdr:cNvPr id="74" name="AutoShape 10" descr="Wasps">
          <a:extLst>
            <a:ext uri="{FF2B5EF4-FFF2-40B4-BE49-F238E27FC236}">
              <a16:creationId xmlns:a16="http://schemas.microsoft.com/office/drawing/2014/main" id="{FB30BCF7-050B-4346-886F-811D52A77197}"/>
            </a:ext>
          </a:extLst>
        </xdr:cNvPr>
        <xdr:cNvSpPr>
          <a:spLocks noChangeAspect="1" noChangeArrowheads="1"/>
        </xdr:cNvSpPr>
      </xdr:nvSpPr>
      <xdr:spPr bwMode="auto">
        <a:xfrm>
          <a:off x="6599208" y="512409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39</xdr:row>
      <xdr:rowOff>0</xdr:rowOff>
    </xdr:from>
    <xdr:ext cx="304800" cy="302284"/>
    <xdr:sp macro="" textlink="">
      <xdr:nvSpPr>
        <xdr:cNvPr id="75" name="AutoShape 10" descr="Wasps">
          <a:extLst>
            <a:ext uri="{FF2B5EF4-FFF2-40B4-BE49-F238E27FC236}">
              <a16:creationId xmlns:a16="http://schemas.microsoft.com/office/drawing/2014/main" id="{12179B76-E6CC-423A-8DA4-33238606F25C}"/>
            </a:ext>
          </a:extLst>
        </xdr:cNvPr>
        <xdr:cNvSpPr>
          <a:spLocks noChangeAspect="1" noChangeArrowheads="1"/>
        </xdr:cNvSpPr>
      </xdr:nvSpPr>
      <xdr:spPr bwMode="auto">
        <a:xfrm>
          <a:off x="6599208" y="512409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304800" cy="302284"/>
    <xdr:sp macro="" textlink="">
      <xdr:nvSpPr>
        <xdr:cNvPr id="76" name="AutoShape 10" descr="Wasps">
          <a:extLst>
            <a:ext uri="{FF2B5EF4-FFF2-40B4-BE49-F238E27FC236}">
              <a16:creationId xmlns:a16="http://schemas.microsoft.com/office/drawing/2014/main" id="{2D67FC4F-9B22-419C-81F4-58AAFA0C5AD6}"/>
            </a:ext>
          </a:extLst>
        </xdr:cNvPr>
        <xdr:cNvSpPr>
          <a:spLocks noChangeAspect="1" noChangeArrowheads="1"/>
        </xdr:cNvSpPr>
      </xdr:nvSpPr>
      <xdr:spPr bwMode="auto">
        <a:xfrm>
          <a:off x="6599208" y="531387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304800" cy="302284"/>
    <xdr:sp macro="" textlink="">
      <xdr:nvSpPr>
        <xdr:cNvPr id="77" name="AutoShape 10" descr="Wasps">
          <a:extLst>
            <a:ext uri="{FF2B5EF4-FFF2-40B4-BE49-F238E27FC236}">
              <a16:creationId xmlns:a16="http://schemas.microsoft.com/office/drawing/2014/main" id="{E8F63D27-AF6B-4ABA-8226-F6E5D8C5F060}"/>
            </a:ext>
          </a:extLst>
        </xdr:cNvPr>
        <xdr:cNvSpPr>
          <a:spLocks noChangeAspect="1" noChangeArrowheads="1"/>
        </xdr:cNvSpPr>
      </xdr:nvSpPr>
      <xdr:spPr bwMode="auto">
        <a:xfrm>
          <a:off x="6599208" y="531387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304800" cy="302284"/>
    <xdr:sp macro="" textlink="">
      <xdr:nvSpPr>
        <xdr:cNvPr id="78" name="AutoShape 10" descr="Wasps">
          <a:extLst>
            <a:ext uri="{FF2B5EF4-FFF2-40B4-BE49-F238E27FC236}">
              <a16:creationId xmlns:a16="http://schemas.microsoft.com/office/drawing/2014/main" id="{507871AC-08F9-4F89-A3CB-E4DD0045EEAE}"/>
            </a:ext>
          </a:extLst>
        </xdr:cNvPr>
        <xdr:cNvSpPr>
          <a:spLocks noChangeAspect="1" noChangeArrowheads="1"/>
        </xdr:cNvSpPr>
      </xdr:nvSpPr>
      <xdr:spPr bwMode="auto">
        <a:xfrm>
          <a:off x="6599208" y="531387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304800" cy="302284"/>
    <xdr:sp macro="" textlink="">
      <xdr:nvSpPr>
        <xdr:cNvPr id="79" name="AutoShape 10" descr="Wasps">
          <a:extLst>
            <a:ext uri="{FF2B5EF4-FFF2-40B4-BE49-F238E27FC236}">
              <a16:creationId xmlns:a16="http://schemas.microsoft.com/office/drawing/2014/main" id="{459F5DD6-5B8C-4747-9A1F-19B4448570B1}"/>
            </a:ext>
          </a:extLst>
        </xdr:cNvPr>
        <xdr:cNvSpPr>
          <a:spLocks noChangeAspect="1" noChangeArrowheads="1"/>
        </xdr:cNvSpPr>
      </xdr:nvSpPr>
      <xdr:spPr bwMode="auto">
        <a:xfrm>
          <a:off x="6599208" y="531387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41</xdr:row>
      <xdr:rowOff>0</xdr:rowOff>
    </xdr:from>
    <xdr:ext cx="304800" cy="302284"/>
    <xdr:sp macro="" textlink="">
      <xdr:nvSpPr>
        <xdr:cNvPr id="80" name="AutoShape 10" descr="Wasps">
          <a:extLst>
            <a:ext uri="{FF2B5EF4-FFF2-40B4-BE49-F238E27FC236}">
              <a16:creationId xmlns:a16="http://schemas.microsoft.com/office/drawing/2014/main" id="{FD88B560-F918-49D2-A568-F6E9AE8290CA}"/>
            </a:ext>
          </a:extLst>
        </xdr:cNvPr>
        <xdr:cNvSpPr>
          <a:spLocks noChangeAspect="1" noChangeArrowheads="1"/>
        </xdr:cNvSpPr>
      </xdr:nvSpPr>
      <xdr:spPr bwMode="auto">
        <a:xfrm>
          <a:off x="6599208" y="550365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41</xdr:row>
      <xdr:rowOff>0</xdr:rowOff>
    </xdr:from>
    <xdr:ext cx="304800" cy="302284"/>
    <xdr:sp macro="" textlink="">
      <xdr:nvSpPr>
        <xdr:cNvPr id="81" name="AutoShape 10" descr="Wasps">
          <a:extLst>
            <a:ext uri="{FF2B5EF4-FFF2-40B4-BE49-F238E27FC236}">
              <a16:creationId xmlns:a16="http://schemas.microsoft.com/office/drawing/2014/main" id="{B8628D34-2B73-4303-9D95-B8760DAC749D}"/>
            </a:ext>
          </a:extLst>
        </xdr:cNvPr>
        <xdr:cNvSpPr>
          <a:spLocks noChangeAspect="1" noChangeArrowheads="1"/>
        </xdr:cNvSpPr>
      </xdr:nvSpPr>
      <xdr:spPr bwMode="auto">
        <a:xfrm>
          <a:off x="6599208" y="550365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42</xdr:row>
      <xdr:rowOff>0</xdr:rowOff>
    </xdr:from>
    <xdr:ext cx="304800" cy="302284"/>
    <xdr:sp macro="" textlink="">
      <xdr:nvSpPr>
        <xdr:cNvPr id="82" name="AutoShape 10" descr="Wasps">
          <a:extLst>
            <a:ext uri="{FF2B5EF4-FFF2-40B4-BE49-F238E27FC236}">
              <a16:creationId xmlns:a16="http://schemas.microsoft.com/office/drawing/2014/main" id="{15AE3226-A7C0-4DAC-93C4-340FBD214C82}"/>
            </a:ext>
          </a:extLst>
        </xdr:cNvPr>
        <xdr:cNvSpPr>
          <a:spLocks noChangeAspect="1" noChangeArrowheads="1"/>
        </xdr:cNvSpPr>
      </xdr:nvSpPr>
      <xdr:spPr bwMode="auto">
        <a:xfrm>
          <a:off x="6599208" y="569343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42</xdr:row>
      <xdr:rowOff>0</xdr:rowOff>
    </xdr:from>
    <xdr:ext cx="304800" cy="302284"/>
    <xdr:sp macro="" textlink="">
      <xdr:nvSpPr>
        <xdr:cNvPr id="83" name="AutoShape 10" descr="Wasps">
          <a:extLst>
            <a:ext uri="{FF2B5EF4-FFF2-40B4-BE49-F238E27FC236}">
              <a16:creationId xmlns:a16="http://schemas.microsoft.com/office/drawing/2014/main" id="{521007D0-80CA-486C-A012-3BE4285690E2}"/>
            </a:ext>
          </a:extLst>
        </xdr:cNvPr>
        <xdr:cNvSpPr>
          <a:spLocks noChangeAspect="1" noChangeArrowheads="1"/>
        </xdr:cNvSpPr>
      </xdr:nvSpPr>
      <xdr:spPr bwMode="auto">
        <a:xfrm>
          <a:off x="6599208" y="569343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43</xdr:row>
      <xdr:rowOff>0</xdr:rowOff>
    </xdr:from>
    <xdr:ext cx="304800" cy="302284"/>
    <xdr:sp macro="" textlink="">
      <xdr:nvSpPr>
        <xdr:cNvPr id="84" name="AutoShape 10" descr="Wasps">
          <a:extLst>
            <a:ext uri="{FF2B5EF4-FFF2-40B4-BE49-F238E27FC236}">
              <a16:creationId xmlns:a16="http://schemas.microsoft.com/office/drawing/2014/main" id="{3D8BE3D3-1AE3-44CF-AAA3-1FA5800DFB3D}"/>
            </a:ext>
          </a:extLst>
        </xdr:cNvPr>
        <xdr:cNvSpPr>
          <a:spLocks noChangeAspect="1" noChangeArrowheads="1"/>
        </xdr:cNvSpPr>
      </xdr:nvSpPr>
      <xdr:spPr bwMode="auto">
        <a:xfrm>
          <a:off x="6599208" y="588321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43</xdr:row>
      <xdr:rowOff>0</xdr:rowOff>
    </xdr:from>
    <xdr:ext cx="304800" cy="302284"/>
    <xdr:sp macro="" textlink="">
      <xdr:nvSpPr>
        <xdr:cNvPr id="85" name="AutoShape 10" descr="Wasps">
          <a:extLst>
            <a:ext uri="{FF2B5EF4-FFF2-40B4-BE49-F238E27FC236}">
              <a16:creationId xmlns:a16="http://schemas.microsoft.com/office/drawing/2014/main" id="{C6DED202-3964-4940-A4FE-6C3102286050}"/>
            </a:ext>
          </a:extLst>
        </xdr:cNvPr>
        <xdr:cNvSpPr>
          <a:spLocks noChangeAspect="1" noChangeArrowheads="1"/>
        </xdr:cNvSpPr>
      </xdr:nvSpPr>
      <xdr:spPr bwMode="auto">
        <a:xfrm>
          <a:off x="6599208" y="588321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304800" cy="302284"/>
    <xdr:sp macro="" textlink="">
      <xdr:nvSpPr>
        <xdr:cNvPr id="86" name="AutoShape 10" descr="Wasps">
          <a:extLst>
            <a:ext uri="{FF2B5EF4-FFF2-40B4-BE49-F238E27FC236}">
              <a16:creationId xmlns:a16="http://schemas.microsoft.com/office/drawing/2014/main" id="{94D359A6-DCE1-4FAB-BD6D-50E33DEBC06B}"/>
            </a:ext>
          </a:extLst>
        </xdr:cNvPr>
        <xdr:cNvSpPr>
          <a:spLocks noChangeAspect="1" noChangeArrowheads="1"/>
        </xdr:cNvSpPr>
      </xdr:nvSpPr>
      <xdr:spPr bwMode="auto">
        <a:xfrm>
          <a:off x="6599208" y="607299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304800" cy="302284"/>
    <xdr:sp macro="" textlink="">
      <xdr:nvSpPr>
        <xdr:cNvPr id="87" name="AutoShape 10" descr="Wasps">
          <a:extLst>
            <a:ext uri="{FF2B5EF4-FFF2-40B4-BE49-F238E27FC236}">
              <a16:creationId xmlns:a16="http://schemas.microsoft.com/office/drawing/2014/main" id="{DFCA575B-24FE-46B1-8CB1-B8EF601B9A9F}"/>
            </a:ext>
          </a:extLst>
        </xdr:cNvPr>
        <xdr:cNvSpPr>
          <a:spLocks noChangeAspect="1" noChangeArrowheads="1"/>
        </xdr:cNvSpPr>
      </xdr:nvSpPr>
      <xdr:spPr bwMode="auto">
        <a:xfrm>
          <a:off x="6599208" y="607299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304800" cy="302284"/>
    <xdr:sp macro="" textlink="">
      <xdr:nvSpPr>
        <xdr:cNvPr id="88" name="AutoShape 10" descr="Wasps">
          <a:extLst>
            <a:ext uri="{FF2B5EF4-FFF2-40B4-BE49-F238E27FC236}">
              <a16:creationId xmlns:a16="http://schemas.microsoft.com/office/drawing/2014/main" id="{3FDD61A5-B919-4625-97DF-EB2F20B57376}"/>
            </a:ext>
          </a:extLst>
        </xdr:cNvPr>
        <xdr:cNvSpPr>
          <a:spLocks noChangeAspect="1" noChangeArrowheads="1"/>
        </xdr:cNvSpPr>
      </xdr:nvSpPr>
      <xdr:spPr bwMode="auto">
        <a:xfrm>
          <a:off x="6599208" y="626277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304800" cy="302284"/>
    <xdr:sp macro="" textlink="">
      <xdr:nvSpPr>
        <xdr:cNvPr id="89" name="AutoShape 10" descr="Wasps">
          <a:extLst>
            <a:ext uri="{FF2B5EF4-FFF2-40B4-BE49-F238E27FC236}">
              <a16:creationId xmlns:a16="http://schemas.microsoft.com/office/drawing/2014/main" id="{338D4800-F78A-4417-890F-641DB2669F87}"/>
            </a:ext>
          </a:extLst>
        </xdr:cNvPr>
        <xdr:cNvSpPr>
          <a:spLocks noChangeAspect="1" noChangeArrowheads="1"/>
        </xdr:cNvSpPr>
      </xdr:nvSpPr>
      <xdr:spPr bwMode="auto">
        <a:xfrm>
          <a:off x="6599208" y="626277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304800" cy="302284"/>
    <xdr:sp macro="" textlink="">
      <xdr:nvSpPr>
        <xdr:cNvPr id="90" name="AutoShape 10" descr="Wasps">
          <a:extLst>
            <a:ext uri="{FF2B5EF4-FFF2-40B4-BE49-F238E27FC236}">
              <a16:creationId xmlns:a16="http://schemas.microsoft.com/office/drawing/2014/main" id="{4D8BA69E-BB12-4FF8-9335-CA23446B34C7}"/>
            </a:ext>
          </a:extLst>
        </xdr:cNvPr>
        <xdr:cNvSpPr>
          <a:spLocks noChangeAspect="1" noChangeArrowheads="1"/>
        </xdr:cNvSpPr>
      </xdr:nvSpPr>
      <xdr:spPr bwMode="auto">
        <a:xfrm>
          <a:off x="6599208" y="645255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304800" cy="302284"/>
    <xdr:sp macro="" textlink="">
      <xdr:nvSpPr>
        <xdr:cNvPr id="91" name="AutoShape 10" descr="Wasps">
          <a:extLst>
            <a:ext uri="{FF2B5EF4-FFF2-40B4-BE49-F238E27FC236}">
              <a16:creationId xmlns:a16="http://schemas.microsoft.com/office/drawing/2014/main" id="{647238ED-8E42-4F55-A197-A38CE10335CB}"/>
            </a:ext>
          </a:extLst>
        </xdr:cNvPr>
        <xdr:cNvSpPr>
          <a:spLocks noChangeAspect="1" noChangeArrowheads="1"/>
        </xdr:cNvSpPr>
      </xdr:nvSpPr>
      <xdr:spPr bwMode="auto">
        <a:xfrm>
          <a:off x="6599208" y="645255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53</xdr:row>
      <xdr:rowOff>0</xdr:rowOff>
    </xdr:from>
    <xdr:ext cx="304800" cy="302284"/>
    <xdr:sp macro="" textlink="">
      <xdr:nvSpPr>
        <xdr:cNvPr id="92" name="AutoShape 10" descr="Wasps">
          <a:extLst>
            <a:ext uri="{FF2B5EF4-FFF2-40B4-BE49-F238E27FC236}">
              <a16:creationId xmlns:a16="http://schemas.microsoft.com/office/drawing/2014/main" id="{B04A0F57-A37B-4804-9349-16065F48A353}"/>
            </a:ext>
          </a:extLst>
        </xdr:cNvPr>
        <xdr:cNvSpPr>
          <a:spLocks noChangeAspect="1" noChangeArrowheads="1"/>
        </xdr:cNvSpPr>
      </xdr:nvSpPr>
      <xdr:spPr bwMode="auto">
        <a:xfrm>
          <a:off x="6599208" y="664234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56</xdr:row>
      <xdr:rowOff>0</xdr:rowOff>
    </xdr:from>
    <xdr:ext cx="304800" cy="302284"/>
    <xdr:sp macro="" textlink="">
      <xdr:nvSpPr>
        <xdr:cNvPr id="93" name="AutoShape 11" descr="Gloucester Rugby">
          <a:extLst>
            <a:ext uri="{FF2B5EF4-FFF2-40B4-BE49-F238E27FC236}">
              <a16:creationId xmlns:a16="http://schemas.microsoft.com/office/drawing/2014/main" id="{ECE0F417-168F-41EF-8E20-14DDAB3DD643}"/>
            </a:ext>
          </a:extLst>
        </xdr:cNvPr>
        <xdr:cNvSpPr>
          <a:spLocks noChangeAspect="1" noChangeArrowheads="1"/>
        </xdr:cNvSpPr>
      </xdr:nvSpPr>
      <xdr:spPr bwMode="auto">
        <a:xfrm>
          <a:off x="6599208" y="948905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56</xdr:row>
      <xdr:rowOff>0</xdr:rowOff>
    </xdr:from>
    <xdr:ext cx="304800" cy="302284"/>
    <xdr:sp macro="" textlink="">
      <xdr:nvSpPr>
        <xdr:cNvPr id="94" name="AutoShape 10" descr="Wasps">
          <a:extLst>
            <a:ext uri="{FF2B5EF4-FFF2-40B4-BE49-F238E27FC236}">
              <a16:creationId xmlns:a16="http://schemas.microsoft.com/office/drawing/2014/main" id="{173EE5D1-EA5B-4F59-B957-68EC1A3084F4}"/>
            </a:ext>
          </a:extLst>
        </xdr:cNvPr>
        <xdr:cNvSpPr>
          <a:spLocks noChangeAspect="1" noChangeArrowheads="1"/>
        </xdr:cNvSpPr>
      </xdr:nvSpPr>
      <xdr:spPr bwMode="auto">
        <a:xfrm>
          <a:off x="6599208" y="759124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56</xdr:row>
      <xdr:rowOff>0</xdr:rowOff>
    </xdr:from>
    <xdr:ext cx="304800" cy="302284"/>
    <xdr:sp macro="" textlink="">
      <xdr:nvSpPr>
        <xdr:cNvPr id="95" name="AutoShape 10" descr="Wasps">
          <a:extLst>
            <a:ext uri="{FF2B5EF4-FFF2-40B4-BE49-F238E27FC236}">
              <a16:creationId xmlns:a16="http://schemas.microsoft.com/office/drawing/2014/main" id="{C17B737F-1C7B-477D-8E38-1790DC020D7F}"/>
            </a:ext>
          </a:extLst>
        </xdr:cNvPr>
        <xdr:cNvSpPr>
          <a:spLocks noChangeAspect="1" noChangeArrowheads="1"/>
        </xdr:cNvSpPr>
      </xdr:nvSpPr>
      <xdr:spPr bwMode="auto">
        <a:xfrm>
          <a:off x="6599208" y="759124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56</xdr:row>
      <xdr:rowOff>0</xdr:rowOff>
    </xdr:from>
    <xdr:ext cx="304800" cy="302284"/>
    <xdr:sp macro="" textlink="">
      <xdr:nvSpPr>
        <xdr:cNvPr id="96" name="AutoShape 10" descr="Wasps">
          <a:extLst>
            <a:ext uri="{FF2B5EF4-FFF2-40B4-BE49-F238E27FC236}">
              <a16:creationId xmlns:a16="http://schemas.microsoft.com/office/drawing/2014/main" id="{43354379-EC46-4E33-92CB-89E5D5485968}"/>
            </a:ext>
          </a:extLst>
        </xdr:cNvPr>
        <xdr:cNvSpPr>
          <a:spLocks noChangeAspect="1" noChangeArrowheads="1"/>
        </xdr:cNvSpPr>
      </xdr:nvSpPr>
      <xdr:spPr bwMode="auto">
        <a:xfrm>
          <a:off x="6599208" y="797080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56</xdr:row>
      <xdr:rowOff>0</xdr:rowOff>
    </xdr:from>
    <xdr:ext cx="304800" cy="302284"/>
    <xdr:sp macro="" textlink="">
      <xdr:nvSpPr>
        <xdr:cNvPr id="97" name="AutoShape 10" descr="Wasps">
          <a:extLst>
            <a:ext uri="{FF2B5EF4-FFF2-40B4-BE49-F238E27FC236}">
              <a16:creationId xmlns:a16="http://schemas.microsoft.com/office/drawing/2014/main" id="{6C2B82DD-4858-4458-9B19-DDFA87A21FCA}"/>
            </a:ext>
          </a:extLst>
        </xdr:cNvPr>
        <xdr:cNvSpPr>
          <a:spLocks noChangeAspect="1" noChangeArrowheads="1"/>
        </xdr:cNvSpPr>
      </xdr:nvSpPr>
      <xdr:spPr bwMode="auto">
        <a:xfrm>
          <a:off x="6599208" y="797080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56</xdr:row>
      <xdr:rowOff>0</xdr:rowOff>
    </xdr:from>
    <xdr:ext cx="304800" cy="302284"/>
    <xdr:sp macro="" textlink="">
      <xdr:nvSpPr>
        <xdr:cNvPr id="98" name="AutoShape 10" descr="Wasps">
          <a:extLst>
            <a:ext uri="{FF2B5EF4-FFF2-40B4-BE49-F238E27FC236}">
              <a16:creationId xmlns:a16="http://schemas.microsoft.com/office/drawing/2014/main" id="{357906E0-EBFE-4EBE-A04E-857348E17780}"/>
            </a:ext>
          </a:extLst>
        </xdr:cNvPr>
        <xdr:cNvSpPr>
          <a:spLocks noChangeAspect="1" noChangeArrowheads="1"/>
        </xdr:cNvSpPr>
      </xdr:nvSpPr>
      <xdr:spPr bwMode="auto">
        <a:xfrm>
          <a:off x="6599208" y="797080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56</xdr:row>
      <xdr:rowOff>0</xdr:rowOff>
    </xdr:from>
    <xdr:ext cx="304800" cy="302284"/>
    <xdr:sp macro="" textlink="">
      <xdr:nvSpPr>
        <xdr:cNvPr id="99" name="AutoShape 10" descr="Wasps">
          <a:extLst>
            <a:ext uri="{FF2B5EF4-FFF2-40B4-BE49-F238E27FC236}">
              <a16:creationId xmlns:a16="http://schemas.microsoft.com/office/drawing/2014/main" id="{734D24AD-48A5-45BE-A74E-C81C170800F2}"/>
            </a:ext>
          </a:extLst>
        </xdr:cNvPr>
        <xdr:cNvSpPr>
          <a:spLocks noChangeAspect="1" noChangeArrowheads="1"/>
        </xdr:cNvSpPr>
      </xdr:nvSpPr>
      <xdr:spPr bwMode="auto">
        <a:xfrm>
          <a:off x="6599208" y="797080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56</xdr:row>
      <xdr:rowOff>0</xdr:rowOff>
    </xdr:from>
    <xdr:ext cx="304800" cy="302284"/>
    <xdr:sp macro="" textlink="">
      <xdr:nvSpPr>
        <xdr:cNvPr id="100" name="AutoShape 10" descr="Wasps">
          <a:extLst>
            <a:ext uri="{FF2B5EF4-FFF2-40B4-BE49-F238E27FC236}">
              <a16:creationId xmlns:a16="http://schemas.microsoft.com/office/drawing/2014/main" id="{76FFDCBC-C413-4D80-B94C-4BA0079D6A89}"/>
            </a:ext>
          </a:extLst>
        </xdr:cNvPr>
        <xdr:cNvSpPr>
          <a:spLocks noChangeAspect="1" noChangeArrowheads="1"/>
        </xdr:cNvSpPr>
      </xdr:nvSpPr>
      <xdr:spPr bwMode="auto">
        <a:xfrm>
          <a:off x="6599208" y="816058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56</xdr:row>
      <xdr:rowOff>0</xdr:rowOff>
    </xdr:from>
    <xdr:ext cx="304800" cy="302284"/>
    <xdr:sp macro="" textlink="">
      <xdr:nvSpPr>
        <xdr:cNvPr id="101" name="AutoShape 10" descr="Wasps">
          <a:extLst>
            <a:ext uri="{FF2B5EF4-FFF2-40B4-BE49-F238E27FC236}">
              <a16:creationId xmlns:a16="http://schemas.microsoft.com/office/drawing/2014/main" id="{50FE63CE-D8CA-4299-BE83-D79D7471FB9E}"/>
            </a:ext>
          </a:extLst>
        </xdr:cNvPr>
        <xdr:cNvSpPr>
          <a:spLocks noChangeAspect="1" noChangeArrowheads="1"/>
        </xdr:cNvSpPr>
      </xdr:nvSpPr>
      <xdr:spPr bwMode="auto">
        <a:xfrm>
          <a:off x="6599208" y="816058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56</xdr:row>
      <xdr:rowOff>0</xdr:rowOff>
    </xdr:from>
    <xdr:ext cx="304800" cy="302284"/>
    <xdr:sp macro="" textlink="">
      <xdr:nvSpPr>
        <xdr:cNvPr id="102" name="AutoShape 10" descr="Wasps">
          <a:extLst>
            <a:ext uri="{FF2B5EF4-FFF2-40B4-BE49-F238E27FC236}">
              <a16:creationId xmlns:a16="http://schemas.microsoft.com/office/drawing/2014/main" id="{9AC9D46D-E4F8-4ACB-8FBB-11A0F525D746}"/>
            </a:ext>
          </a:extLst>
        </xdr:cNvPr>
        <xdr:cNvSpPr>
          <a:spLocks noChangeAspect="1" noChangeArrowheads="1"/>
        </xdr:cNvSpPr>
      </xdr:nvSpPr>
      <xdr:spPr bwMode="auto">
        <a:xfrm>
          <a:off x="6599208" y="835037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56</xdr:row>
      <xdr:rowOff>0</xdr:rowOff>
    </xdr:from>
    <xdr:ext cx="304800" cy="302284"/>
    <xdr:sp macro="" textlink="">
      <xdr:nvSpPr>
        <xdr:cNvPr id="103" name="AutoShape 10" descr="Wasps">
          <a:extLst>
            <a:ext uri="{FF2B5EF4-FFF2-40B4-BE49-F238E27FC236}">
              <a16:creationId xmlns:a16="http://schemas.microsoft.com/office/drawing/2014/main" id="{D9EA6FAD-F026-4071-ABA3-840CB214798E}"/>
            </a:ext>
          </a:extLst>
        </xdr:cNvPr>
        <xdr:cNvSpPr>
          <a:spLocks noChangeAspect="1" noChangeArrowheads="1"/>
        </xdr:cNvSpPr>
      </xdr:nvSpPr>
      <xdr:spPr bwMode="auto">
        <a:xfrm>
          <a:off x="6599208" y="835037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56</xdr:row>
      <xdr:rowOff>0</xdr:rowOff>
    </xdr:from>
    <xdr:ext cx="304800" cy="302284"/>
    <xdr:sp macro="" textlink="">
      <xdr:nvSpPr>
        <xdr:cNvPr id="104" name="AutoShape 10" descr="Wasps">
          <a:extLst>
            <a:ext uri="{FF2B5EF4-FFF2-40B4-BE49-F238E27FC236}">
              <a16:creationId xmlns:a16="http://schemas.microsoft.com/office/drawing/2014/main" id="{90134C45-3051-4AFB-BEE3-86514E174617}"/>
            </a:ext>
          </a:extLst>
        </xdr:cNvPr>
        <xdr:cNvSpPr>
          <a:spLocks noChangeAspect="1" noChangeArrowheads="1"/>
        </xdr:cNvSpPr>
      </xdr:nvSpPr>
      <xdr:spPr bwMode="auto">
        <a:xfrm>
          <a:off x="6599208" y="854015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56</xdr:row>
      <xdr:rowOff>0</xdr:rowOff>
    </xdr:from>
    <xdr:ext cx="304800" cy="302284"/>
    <xdr:sp macro="" textlink="">
      <xdr:nvSpPr>
        <xdr:cNvPr id="105" name="AutoShape 10" descr="Wasps">
          <a:extLst>
            <a:ext uri="{FF2B5EF4-FFF2-40B4-BE49-F238E27FC236}">
              <a16:creationId xmlns:a16="http://schemas.microsoft.com/office/drawing/2014/main" id="{DEFC933B-D94C-4F36-A710-A7CAD0B02D9D}"/>
            </a:ext>
          </a:extLst>
        </xdr:cNvPr>
        <xdr:cNvSpPr>
          <a:spLocks noChangeAspect="1" noChangeArrowheads="1"/>
        </xdr:cNvSpPr>
      </xdr:nvSpPr>
      <xdr:spPr bwMode="auto">
        <a:xfrm>
          <a:off x="6599208" y="854015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56</xdr:row>
      <xdr:rowOff>0</xdr:rowOff>
    </xdr:from>
    <xdr:ext cx="304800" cy="302284"/>
    <xdr:sp macro="" textlink="">
      <xdr:nvSpPr>
        <xdr:cNvPr id="106" name="AutoShape 10" descr="Wasps">
          <a:extLst>
            <a:ext uri="{FF2B5EF4-FFF2-40B4-BE49-F238E27FC236}">
              <a16:creationId xmlns:a16="http://schemas.microsoft.com/office/drawing/2014/main" id="{8648B3BF-3918-4712-A4B1-6D9DBA64ED80}"/>
            </a:ext>
          </a:extLst>
        </xdr:cNvPr>
        <xdr:cNvSpPr>
          <a:spLocks noChangeAspect="1" noChangeArrowheads="1"/>
        </xdr:cNvSpPr>
      </xdr:nvSpPr>
      <xdr:spPr bwMode="auto">
        <a:xfrm>
          <a:off x="6599208" y="872993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56</xdr:row>
      <xdr:rowOff>0</xdr:rowOff>
    </xdr:from>
    <xdr:ext cx="304800" cy="302284"/>
    <xdr:sp macro="" textlink="">
      <xdr:nvSpPr>
        <xdr:cNvPr id="107" name="AutoShape 10" descr="Wasps">
          <a:extLst>
            <a:ext uri="{FF2B5EF4-FFF2-40B4-BE49-F238E27FC236}">
              <a16:creationId xmlns:a16="http://schemas.microsoft.com/office/drawing/2014/main" id="{693B2D0D-7194-4996-BA7D-0EC34D6C4392}"/>
            </a:ext>
          </a:extLst>
        </xdr:cNvPr>
        <xdr:cNvSpPr>
          <a:spLocks noChangeAspect="1" noChangeArrowheads="1"/>
        </xdr:cNvSpPr>
      </xdr:nvSpPr>
      <xdr:spPr bwMode="auto">
        <a:xfrm>
          <a:off x="6599208" y="872993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56</xdr:row>
      <xdr:rowOff>0</xdr:rowOff>
    </xdr:from>
    <xdr:ext cx="304800" cy="302284"/>
    <xdr:sp macro="" textlink="">
      <xdr:nvSpPr>
        <xdr:cNvPr id="108" name="AutoShape 10" descr="Wasps">
          <a:extLst>
            <a:ext uri="{FF2B5EF4-FFF2-40B4-BE49-F238E27FC236}">
              <a16:creationId xmlns:a16="http://schemas.microsoft.com/office/drawing/2014/main" id="{99B7B51F-4EEF-4F01-96F5-6BF1754A00FB}"/>
            </a:ext>
          </a:extLst>
        </xdr:cNvPr>
        <xdr:cNvSpPr>
          <a:spLocks noChangeAspect="1" noChangeArrowheads="1"/>
        </xdr:cNvSpPr>
      </xdr:nvSpPr>
      <xdr:spPr bwMode="auto">
        <a:xfrm>
          <a:off x="6599208" y="891971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56</xdr:row>
      <xdr:rowOff>0</xdr:rowOff>
    </xdr:from>
    <xdr:ext cx="304800" cy="302284"/>
    <xdr:sp macro="" textlink="">
      <xdr:nvSpPr>
        <xdr:cNvPr id="109" name="AutoShape 10" descr="Wasps">
          <a:extLst>
            <a:ext uri="{FF2B5EF4-FFF2-40B4-BE49-F238E27FC236}">
              <a16:creationId xmlns:a16="http://schemas.microsoft.com/office/drawing/2014/main" id="{7CB212B7-69D7-45D9-B44D-1126B878F0CB}"/>
            </a:ext>
          </a:extLst>
        </xdr:cNvPr>
        <xdr:cNvSpPr>
          <a:spLocks noChangeAspect="1" noChangeArrowheads="1"/>
        </xdr:cNvSpPr>
      </xdr:nvSpPr>
      <xdr:spPr bwMode="auto">
        <a:xfrm>
          <a:off x="6599208" y="891971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56</xdr:row>
      <xdr:rowOff>0</xdr:rowOff>
    </xdr:from>
    <xdr:ext cx="304800" cy="302284"/>
    <xdr:sp macro="" textlink="">
      <xdr:nvSpPr>
        <xdr:cNvPr id="110" name="AutoShape 10" descr="Wasps">
          <a:extLst>
            <a:ext uri="{FF2B5EF4-FFF2-40B4-BE49-F238E27FC236}">
              <a16:creationId xmlns:a16="http://schemas.microsoft.com/office/drawing/2014/main" id="{82733A63-7F34-4AE7-A702-CFFDC1AD60BF}"/>
            </a:ext>
          </a:extLst>
        </xdr:cNvPr>
        <xdr:cNvSpPr>
          <a:spLocks noChangeAspect="1" noChangeArrowheads="1"/>
        </xdr:cNvSpPr>
      </xdr:nvSpPr>
      <xdr:spPr bwMode="auto">
        <a:xfrm>
          <a:off x="6599208" y="910949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56</xdr:row>
      <xdr:rowOff>0</xdr:rowOff>
    </xdr:from>
    <xdr:ext cx="304800" cy="302284"/>
    <xdr:sp macro="" textlink="">
      <xdr:nvSpPr>
        <xdr:cNvPr id="111" name="AutoShape 10" descr="Wasps">
          <a:extLst>
            <a:ext uri="{FF2B5EF4-FFF2-40B4-BE49-F238E27FC236}">
              <a16:creationId xmlns:a16="http://schemas.microsoft.com/office/drawing/2014/main" id="{692B901D-9200-4A44-AAE3-B16846AD4E47}"/>
            </a:ext>
          </a:extLst>
        </xdr:cNvPr>
        <xdr:cNvSpPr>
          <a:spLocks noChangeAspect="1" noChangeArrowheads="1"/>
        </xdr:cNvSpPr>
      </xdr:nvSpPr>
      <xdr:spPr bwMode="auto">
        <a:xfrm>
          <a:off x="6599208" y="910949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56</xdr:row>
      <xdr:rowOff>0</xdr:rowOff>
    </xdr:from>
    <xdr:ext cx="304800" cy="302284"/>
    <xdr:sp macro="" textlink="">
      <xdr:nvSpPr>
        <xdr:cNvPr id="112" name="AutoShape 10" descr="Wasps">
          <a:extLst>
            <a:ext uri="{FF2B5EF4-FFF2-40B4-BE49-F238E27FC236}">
              <a16:creationId xmlns:a16="http://schemas.microsoft.com/office/drawing/2014/main" id="{F884E503-C88A-4B3D-81BC-762889ADEBB7}"/>
            </a:ext>
          </a:extLst>
        </xdr:cNvPr>
        <xdr:cNvSpPr>
          <a:spLocks noChangeAspect="1" noChangeArrowheads="1"/>
        </xdr:cNvSpPr>
      </xdr:nvSpPr>
      <xdr:spPr bwMode="auto">
        <a:xfrm>
          <a:off x="6599208" y="929927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21</xdr:row>
      <xdr:rowOff>0</xdr:rowOff>
    </xdr:from>
    <xdr:ext cx="304800" cy="302284"/>
    <xdr:sp macro="" textlink="">
      <xdr:nvSpPr>
        <xdr:cNvPr id="113" name="AutoShape 1" descr="Bristol Bears">
          <a:extLst>
            <a:ext uri="{FF2B5EF4-FFF2-40B4-BE49-F238E27FC236}">
              <a16:creationId xmlns:a16="http://schemas.microsoft.com/office/drawing/2014/main" id="{A3F69B22-6CA7-4EDC-87FB-0DE8B765D321}"/>
            </a:ext>
          </a:extLst>
        </xdr:cNvPr>
        <xdr:cNvSpPr>
          <a:spLocks noChangeAspect="1" noChangeArrowheads="1"/>
        </xdr:cNvSpPr>
      </xdr:nvSpPr>
      <xdr:spPr bwMode="auto">
        <a:xfrm>
          <a:off x="6599208" y="284671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</xdr:row>
      <xdr:rowOff>112143</xdr:rowOff>
    </xdr:from>
    <xdr:ext cx="304800" cy="302284"/>
    <xdr:sp macro="" textlink="">
      <xdr:nvSpPr>
        <xdr:cNvPr id="114" name="AutoShape 2" descr="Exeter Chiefs">
          <a:extLst>
            <a:ext uri="{FF2B5EF4-FFF2-40B4-BE49-F238E27FC236}">
              <a16:creationId xmlns:a16="http://schemas.microsoft.com/office/drawing/2014/main" id="{B6063627-506A-4D4F-91B2-AE9C7479BC2C}"/>
            </a:ext>
          </a:extLst>
        </xdr:cNvPr>
        <xdr:cNvSpPr>
          <a:spLocks noChangeAspect="1" noChangeArrowheads="1"/>
        </xdr:cNvSpPr>
      </xdr:nvSpPr>
      <xdr:spPr bwMode="auto">
        <a:xfrm>
          <a:off x="7228936" y="428732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23</xdr:row>
      <xdr:rowOff>0</xdr:rowOff>
    </xdr:from>
    <xdr:ext cx="304800" cy="302284"/>
    <xdr:sp macro="" textlink="">
      <xdr:nvSpPr>
        <xdr:cNvPr id="115" name="AutoShape 3" descr="Harlequins">
          <a:extLst>
            <a:ext uri="{FF2B5EF4-FFF2-40B4-BE49-F238E27FC236}">
              <a16:creationId xmlns:a16="http://schemas.microsoft.com/office/drawing/2014/main" id="{7E2DFBDA-B9FD-476A-B9A9-1255E3B3B905}"/>
            </a:ext>
          </a:extLst>
        </xdr:cNvPr>
        <xdr:cNvSpPr>
          <a:spLocks noChangeAspect="1" noChangeArrowheads="1"/>
        </xdr:cNvSpPr>
      </xdr:nvSpPr>
      <xdr:spPr bwMode="auto">
        <a:xfrm>
          <a:off x="6599208" y="322627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</xdr:row>
      <xdr:rowOff>0</xdr:rowOff>
    </xdr:from>
    <xdr:ext cx="304800" cy="302284"/>
    <xdr:sp macro="" textlink="">
      <xdr:nvSpPr>
        <xdr:cNvPr id="116" name="AutoShape 4" descr="Sale Sharks">
          <a:extLst>
            <a:ext uri="{FF2B5EF4-FFF2-40B4-BE49-F238E27FC236}">
              <a16:creationId xmlns:a16="http://schemas.microsoft.com/office/drawing/2014/main" id="{223237ED-9B14-4FEC-A04A-0177CF807F39}"/>
            </a:ext>
          </a:extLst>
        </xdr:cNvPr>
        <xdr:cNvSpPr>
          <a:spLocks noChangeAspect="1" noChangeArrowheads="1"/>
        </xdr:cNvSpPr>
      </xdr:nvSpPr>
      <xdr:spPr bwMode="auto">
        <a:xfrm>
          <a:off x="6599208" y="341606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304800" cy="302284"/>
    <xdr:sp macro="" textlink="">
      <xdr:nvSpPr>
        <xdr:cNvPr id="117" name="AutoShape 5" descr="Northampton Saints">
          <a:extLst>
            <a:ext uri="{FF2B5EF4-FFF2-40B4-BE49-F238E27FC236}">
              <a16:creationId xmlns:a16="http://schemas.microsoft.com/office/drawing/2014/main" id="{C4CB4840-C608-4802-96DD-525E7450FFD8}"/>
            </a:ext>
          </a:extLst>
        </xdr:cNvPr>
        <xdr:cNvSpPr>
          <a:spLocks noChangeAspect="1" noChangeArrowheads="1"/>
        </xdr:cNvSpPr>
      </xdr:nvSpPr>
      <xdr:spPr bwMode="auto">
        <a:xfrm>
          <a:off x="6599208" y="360584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304800" cy="302284"/>
    <xdr:sp macro="" textlink="">
      <xdr:nvSpPr>
        <xdr:cNvPr id="118" name="AutoShape 6" descr="London Irish">
          <a:extLst>
            <a:ext uri="{FF2B5EF4-FFF2-40B4-BE49-F238E27FC236}">
              <a16:creationId xmlns:a16="http://schemas.microsoft.com/office/drawing/2014/main" id="{023FA790-9290-4D41-859D-8DA8A3D1B13E}"/>
            </a:ext>
          </a:extLst>
        </xdr:cNvPr>
        <xdr:cNvSpPr>
          <a:spLocks noChangeAspect="1" noChangeArrowheads="1"/>
        </xdr:cNvSpPr>
      </xdr:nvSpPr>
      <xdr:spPr bwMode="auto">
        <a:xfrm>
          <a:off x="6599208" y="379562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304800" cy="302284"/>
    <xdr:sp macro="" textlink="">
      <xdr:nvSpPr>
        <xdr:cNvPr id="119" name="AutoShape 7" descr="Leicester Tigers">
          <a:extLst>
            <a:ext uri="{FF2B5EF4-FFF2-40B4-BE49-F238E27FC236}">
              <a16:creationId xmlns:a16="http://schemas.microsoft.com/office/drawing/2014/main" id="{2C0C6B73-42DF-4FC0-A644-B8E26C722495}"/>
            </a:ext>
          </a:extLst>
        </xdr:cNvPr>
        <xdr:cNvSpPr>
          <a:spLocks noChangeAspect="1" noChangeArrowheads="1"/>
        </xdr:cNvSpPr>
      </xdr:nvSpPr>
      <xdr:spPr bwMode="auto">
        <a:xfrm>
          <a:off x="6599208" y="398540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34</xdr:row>
      <xdr:rowOff>0</xdr:rowOff>
    </xdr:from>
    <xdr:ext cx="304800" cy="302284"/>
    <xdr:sp macro="" textlink="">
      <xdr:nvSpPr>
        <xdr:cNvPr id="120" name="AutoShape 8" descr="Newcastle Falcons">
          <a:extLst>
            <a:ext uri="{FF2B5EF4-FFF2-40B4-BE49-F238E27FC236}">
              <a16:creationId xmlns:a16="http://schemas.microsoft.com/office/drawing/2014/main" id="{EE3E1CB5-F4A8-4B3F-A1C1-A08EB000D04C}"/>
            </a:ext>
          </a:extLst>
        </xdr:cNvPr>
        <xdr:cNvSpPr>
          <a:spLocks noChangeAspect="1" noChangeArrowheads="1"/>
        </xdr:cNvSpPr>
      </xdr:nvSpPr>
      <xdr:spPr bwMode="auto">
        <a:xfrm>
          <a:off x="6599208" y="417518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609600</xdr:colOff>
      <xdr:row>24</xdr:row>
      <xdr:rowOff>0</xdr:rowOff>
    </xdr:from>
    <xdr:ext cx="298150" cy="302284"/>
    <xdr:sp macro="" textlink="">
      <xdr:nvSpPr>
        <xdr:cNvPr id="121" name="AutoShape 9" descr="Bath Rugby">
          <a:extLst>
            <a:ext uri="{FF2B5EF4-FFF2-40B4-BE49-F238E27FC236}">
              <a16:creationId xmlns:a16="http://schemas.microsoft.com/office/drawing/2014/main" id="{C0A30072-4B0A-42FC-BB21-5017974C562C}"/>
            </a:ext>
          </a:extLst>
        </xdr:cNvPr>
        <xdr:cNvSpPr>
          <a:spLocks noChangeAspect="1" noChangeArrowheads="1"/>
        </xdr:cNvSpPr>
      </xdr:nvSpPr>
      <xdr:spPr bwMode="auto">
        <a:xfrm>
          <a:off x="6596332" y="4384016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304800" cy="302284"/>
    <xdr:sp macro="" textlink="">
      <xdr:nvSpPr>
        <xdr:cNvPr id="122" name="AutoShape 1" descr="Bristol Bears">
          <a:extLst>
            <a:ext uri="{FF2B5EF4-FFF2-40B4-BE49-F238E27FC236}">
              <a16:creationId xmlns:a16="http://schemas.microsoft.com/office/drawing/2014/main" id="{3BE3F105-5A45-4D60-9F21-27B8F28F9274}"/>
            </a:ext>
          </a:extLst>
        </xdr:cNvPr>
        <xdr:cNvSpPr>
          <a:spLocks noChangeAspect="1" noChangeArrowheads="1"/>
        </xdr:cNvSpPr>
      </xdr:nvSpPr>
      <xdr:spPr bwMode="auto">
        <a:xfrm>
          <a:off x="6599208" y="531387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41</xdr:row>
      <xdr:rowOff>0</xdr:rowOff>
    </xdr:from>
    <xdr:ext cx="304800" cy="302284"/>
    <xdr:sp macro="" textlink="">
      <xdr:nvSpPr>
        <xdr:cNvPr id="123" name="AutoShape 2" descr="Exeter Chiefs">
          <a:extLst>
            <a:ext uri="{FF2B5EF4-FFF2-40B4-BE49-F238E27FC236}">
              <a16:creationId xmlns:a16="http://schemas.microsoft.com/office/drawing/2014/main" id="{5238E35D-4A5D-4F89-93F5-5349798D65FC}"/>
            </a:ext>
          </a:extLst>
        </xdr:cNvPr>
        <xdr:cNvSpPr>
          <a:spLocks noChangeAspect="1" noChangeArrowheads="1"/>
        </xdr:cNvSpPr>
      </xdr:nvSpPr>
      <xdr:spPr bwMode="auto">
        <a:xfrm>
          <a:off x="6599208" y="550365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42</xdr:row>
      <xdr:rowOff>0</xdr:rowOff>
    </xdr:from>
    <xdr:ext cx="304800" cy="302284"/>
    <xdr:sp macro="" textlink="">
      <xdr:nvSpPr>
        <xdr:cNvPr id="124" name="AutoShape 3" descr="Harlequins">
          <a:extLst>
            <a:ext uri="{FF2B5EF4-FFF2-40B4-BE49-F238E27FC236}">
              <a16:creationId xmlns:a16="http://schemas.microsoft.com/office/drawing/2014/main" id="{6C912FF9-126F-4AB6-9AB4-1E7173A81769}"/>
            </a:ext>
          </a:extLst>
        </xdr:cNvPr>
        <xdr:cNvSpPr>
          <a:spLocks noChangeAspect="1" noChangeArrowheads="1"/>
        </xdr:cNvSpPr>
      </xdr:nvSpPr>
      <xdr:spPr bwMode="auto">
        <a:xfrm>
          <a:off x="6599208" y="569343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43</xdr:row>
      <xdr:rowOff>0</xdr:rowOff>
    </xdr:from>
    <xdr:ext cx="304800" cy="302284"/>
    <xdr:sp macro="" textlink="">
      <xdr:nvSpPr>
        <xdr:cNvPr id="125" name="AutoShape 4" descr="Sale Sharks">
          <a:extLst>
            <a:ext uri="{FF2B5EF4-FFF2-40B4-BE49-F238E27FC236}">
              <a16:creationId xmlns:a16="http://schemas.microsoft.com/office/drawing/2014/main" id="{370A4987-7BFF-40FA-BE1B-B07EC2707187}"/>
            </a:ext>
          </a:extLst>
        </xdr:cNvPr>
        <xdr:cNvSpPr>
          <a:spLocks noChangeAspect="1" noChangeArrowheads="1"/>
        </xdr:cNvSpPr>
      </xdr:nvSpPr>
      <xdr:spPr bwMode="auto">
        <a:xfrm>
          <a:off x="6599208" y="588321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304800" cy="302284"/>
    <xdr:sp macro="" textlink="">
      <xdr:nvSpPr>
        <xdr:cNvPr id="126" name="AutoShape 5" descr="Northampton Saints">
          <a:extLst>
            <a:ext uri="{FF2B5EF4-FFF2-40B4-BE49-F238E27FC236}">
              <a16:creationId xmlns:a16="http://schemas.microsoft.com/office/drawing/2014/main" id="{E7A40324-73A1-43FC-8595-F58E8BF22F95}"/>
            </a:ext>
          </a:extLst>
        </xdr:cNvPr>
        <xdr:cNvSpPr>
          <a:spLocks noChangeAspect="1" noChangeArrowheads="1"/>
        </xdr:cNvSpPr>
      </xdr:nvSpPr>
      <xdr:spPr bwMode="auto">
        <a:xfrm>
          <a:off x="6599208" y="607299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304800" cy="302284"/>
    <xdr:sp macro="" textlink="">
      <xdr:nvSpPr>
        <xdr:cNvPr id="127" name="AutoShape 6" descr="London Irish">
          <a:extLst>
            <a:ext uri="{FF2B5EF4-FFF2-40B4-BE49-F238E27FC236}">
              <a16:creationId xmlns:a16="http://schemas.microsoft.com/office/drawing/2014/main" id="{5447A752-4479-430B-9E94-67CEBF262E9C}"/>
            </a:ext>
          </a:extLst>
        </xdr:cNvPr>
        <xdr:cNvSpPr>
          <a:spLocks noChangeAspect="1" noChangeArrowheads="1"/>
        </xdr:cNvSpPr>
      </xdr:nvSpPr>
      <xdr:spPr bwMode="auto">
        <a:xfrm>
          <a:off x="6599208" y="626277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304800" cy="302284"/>
    <xdr:sp macro="" textlink="">
      <xdr:nvSpPr>
        <xdr:cNvPr id="128" name="AutoShape 7" descr="Leicester Tigers">
          <a:extLst>
            <a:ext uri="{FF2B5EF4-FFF2-40B4-BE49-F238E27FC236}">
              <a16:creationId xmlns:a16="http://schemas.microsoft.com/office/drawing/2014/main" id="{8A03FBC4-6B24-41BA-9FE7-47BCE07EEB9A}"/>
            </a:ext>
          </a:extLst>
        </xdr:cNvPr>
        <xdr:cNvSpPr>
          <a:spLocks noChangeAspect="1" noChangeArrowheads="1"/>
        </xdr:cNvSpPr>
      </xdr:nvSpPr>
      <xdr:spPr bwMode="auto">
        <a:xfrm>
          <a:off x="6599208" y="645255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53</xdr:row>
      <xdr:rowOff>0</xdr:rowOff>
    </xdr:from>
    <xdr:ext cx="304800" cy="302284"/>
    <xdr:sp macro="" textlink="">
      <xdr:nvSpPr>
        <xdr:cNvPr id="129" name="AutoShape 8" descr="Newcastle Falcons">
          <a:extLst>
            <a:ext uri="{FF2B5EF4-FFF2-40B4-BE49-F238E27FC236}">
              <a16:creationId xmlns:a16="http://schemas.microsoft.com/office/drawing/2014/main" id="{D3CE7FC5-F809-4C82-8451-C1A21247C811}"/>
            </a:ext>
          </a:extLst>
        </xdr:cNvPr>
        <xdr:cNvSpPr>
          <a:spLocks noChangeAspect="1" noChangeArrowheads="1"/>
        </xdr:cNvSpPr>
      </xdr:nvSpPr>
      <xdr:spPr bwMode="auto">
        <a:xfrm>
          <a:off x="6599208" y="664234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56</xdr:row>
      <xdr:rowOff>0</xdr:rowOff>
    </xdr:from>
    <xdr:ext cx="304800" cy="302284"/>
    <xdr:sp macro="" textlink="">
      <xdr:nvSpPr>
        <xdr:cNvPr id="130" name="AutoShape 1" descr="Bristol Bears">
          <a:extLst>
            <a:ext uri="{FF2B5EF4-FFF2-40B4-BE49-F238E27FC236}">
              <a16:creationId xmlns:a16="http://schemas.microsoft.com/office/drawing/2014/main" id="{0E407A7A-C07F-4414-99F5-B50BEE19B0CD}"/>
            </a:ext>
          </a:extLst>
        </xdr:cNvPr>
        <xdr:cNvSpPr>
          <a:spLocks noChangeAspect="1" noChangeArrowheads="1"/>
        </xdr:cNvSpPr>
      </xdr:nvSpPr>
      <xdr:spPr bwMode="auto">
        <a:xfrm>
          <a:off x="6599208" y="797080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56</xdr:row>
      <xdr:rowOff>0</xdr:rowOff>
    </xdr:from>
    <xdr:ext cx="304800" cy="302284"/>
    <xdr:sp macro="" textlink="">
      <xdr:nvSpPr>
        <xdr:cNvPr id="131" name="AutoShape 2" descr="Exeter Chiefs">
          <a:extLst>
            <a:ext uri="{FF2B5EF4-FFF2-40B4-BE49-F238E27FC236}">
              <a16:creationId xmlns:a16="http://schemas.microsoft.com/office/drawing/2014/main" id="{6618890A-682D-4838-8DE6-FE7BA881F1BB}"/>
            </a:ext>
          </a:extLst>
        </xdr:cNvPr>
        <xdr:cNvSpPr>
          <a:spLocks noChangeAspect="1" noChangeArrowheads="1"/>
        </xdr:cNvSpPr>
      </xdr:nvSpPr>
      <xdr:spPr bwMode="auto">
        <a:xfrm>
          <a:off x="6599208" y="816058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56</xdr:row>
      <xdr:rowOff>0</xdr:rowOff>
    </xdr:from>
    <xdr:ext cx="304800" cy="302284"/>
    <xdr:sp macro="" textlink="">
      <xdr:nvSpPr>
        <xdr:cNvPr id="132" name="AutoShape 3" descr="Harlequins">
          <a:extLst>
            <a:ext uri="{FF2B5EF4-FFF2-40B4-BE49-F238E27FC236}">
              <a16:creationId xmlns:a16="http://schemas.microsoft.com/office/drawing/2014/main" id="{9ACA7961-F86A-41A9-958A-724CB3BEFF02}"/>
            </a:ext>
          </a:extLst>
        </xdr:cNvPr>
        <xdr:cNvSpPr>
          <a:spLocks noChangeAspect="1" noChangeArrowheads="1"/>
        </xdr:cNvSpPr>
      </xdr:nvSpPr>
      <xdr:spPr bwMode="auto">
        <a:xfrm>
          <a:off x="6599208" y="835037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56</xdr:row>
      <xdr:rowOff>0</xdr:rowOff>
    </xdr:from>
    <xdr:ext cx="304800" cy="302284"/>
    <xdr:sp macro="" textlink="">
      <xdr:nvSpPr>
        <xdr:cNvPr id="133" name="AutoShape 4" descr="Sale Sharks">
          <a:extLst>
            <a:ext uri="{FF2B5EF4-FFF2-40B4-BE49-F238E27FC236}">
              <a16:creationId xmlns:a16="http://schemas.microsoft.com/office/drawing/2014/main" id="{438D4C1D-E526-4945-A195-9D14015411C6}"/>
            </a:ext>
          </a:extLst>
        </xdr:cNvPr>
        <xdr:cNvSpPr>
          <a:spLocks noChangeAspect="1" noChangeArrowheads="1"/>
        </xdr:cNvSpPr>
      </xdr:nvSpPr>
      <xdr:spPr bwMode="auto">
        <a:xfrm>
          <a:off x="6599208" y="854015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56</xdr:row>
      <xdr:rowOff>0</xdr:rowOff>
    </xdr:from>
    <xdr:ext cx="304800" cy="302284"/>
    <xdr:sp macro="" textlink="">
      <xdr:nvSpPr>
        <xdr:cNvPr id="134" name="AutoShape 5" descr="Northampton Saints">
          <a:extLst>
            <a:ext uri="{FF2B5EF4-FFF2-40B4-BE49-F238E27FC236}">
              <a16:creationId xmlns:a16="http://schemas.microsoft.com/office/drawing/2014/main" id="{AFB38F6C-7D54-4D9C-96F2-1D4E9951CBCF}"/>
            </a:ext>
          </a:extLst>
        </xdr:cNvPr>
        <xdr:cNvSpPr>
          <a:spLocks noChangeAspect="1" noChangeArrowheads="1"/>
        </xdr:cNvSpPr>
      </xdr:nvSpPr>
      <xdr:spPr bwMode="auto">
        <a:xfrm>
          <a:off x="6599208" y="872993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56</xdr:row>
      <xdr:rowOff>0</xdr:rowOff>
    </xdr:from>
    <xdr:ext cx="304800" cy="302284"/>
    <xdr:sp macro="" textlink="">
      <xdr:nvSpPr>
        <xdr:cNvPr id="135" name="AutoShape 6" descr="London Irish">
          <a:extLst>
            <a:ext uri="{FF2B5EF4-FFF2-40B4-BE49-F238E27FC236}">
              <a16:creationId xmlns:a16="http://schemas.microsoft.com/office/drawing/2014/main" id="{DE61CC5F-95FB-45B4-9C4D-DCFEA41CBC14}"/>
            </a:ext>
          </a:extLst>
        </xdr:cNvPr>
        <xdr:cNvSpPr>
          <a:spLocks noChangeAspect="1" noChangeArrowheads="1"/>
        </xdr:cNvSpPr>
      </xdr:nvSpPr>
      <xdr:spPr bwMode="auto">
        <a:xfrm>
          <a:off x="6599208" y="891971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56</xdr:row>
      <xdr:rowOff>0</xdr:rowOff>
    </xdr:from>
    <xdr:ext cx="304800" cy="302284"/>
    <xdr:sp macro="" textlink="">
      <xdr:nvSpPr>
        <xdr:cNvPr id="136" name="AutoShape 7" descr="Leicester Tigers">
          <a:extLst>
            <a:ext uri="{FF2B5EF4-FFF2-40B4-BE49-F238E27FC236}">
              <a16:creationId xmlns:a16="http://schemas.microsoft.com/office/drawing/2014/main" id="{BAEBC6F5-905E-43BE-9529-3553D8B3B15E}"/>
            </a:ext>
          </a:extLst>
        </xdr:cNvPr>
        <xdr:cNvSpPr>
          <a:spLocks noChangeAspect="1" noChangeArrowheads="1"/>
        </xdr:cNvSpPr>
      </xdr:nvSpPr>
      <xdr:spPr bwMode="auto">
        <a:xfrm>
          <a:off x="6599208" y="910949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56</xdr:row>
      <xdr:rowOff>0</xdr:rowOff>
    </xdr:from>
    <xdr:ext cx="304800" cy="302284"/>
    <xdr:sp macro="" textlink="">
      <xdr:nvSpPr>
        <xdr:cNvPr id="137" name="AutoShape 8" descr="Newcastle Falcons">
          <a:extLst>
            <a:ext uri="{FF2B5EF4-FFF2-40B4-BE49-F238E27FC236}">
              <a16:creationId xmlns:a16="http://schemas.microsoft.com/office/drawing/2014/main" id="{0E08C0F5-90CD-4CEC-B6C0-9C9CE3B3EC88}"/>
            </a:ext>
          </a:extLst>
        </xdr:cNvPr>
        <xdr:cNvSpPr>
          <a:spLocks noChangeAspect="1" noChangeArrowheads="1"/>
        </xdr:cNvSpPr>
      </xdr:nvSpPr>
      <xdr:spPr bwMode="auto">
        <a:xfrm>
          <a:off x="6599208" y="929927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31630</xdr:colOff>
      <xdr:row>50</xdr:row>
      <xdr:rowOff>19050</xdr:rowOff>
    </xdr:from>
    <xdr:ext cx="298150" cy="302284"/>
    <xdr:sp macro="" textlink="">
      <xdr:nvSpPr>
        <xdr:cNvPr id="138" name="AutoShape 9" descr="Bath Rugby">
          <a:extLst>
            <a:ext uri="{FF2B5EF4-FFF2-40B4-BE49-F238E27FC236}">
              <a16:creationId xmlns:a16="http://schemas.microsoft.com/office/drawing/2014/main" id="{F19EBFE5-671E-4686-B9F1-48EC9326F8A6}"/>
            </a:ext>
          </a:extLst>
        </xdr:cNvPr>
        <xdr:cNvSpPr>
          <a:spLocks noChangeAspect="1" noChangeArrowheads="1"/>
        </xdr:cNvSpPr>
      </xdr:nvSpPr>
      <xdr:spPr bwMode="auto">
        <a:xfrm>
          <a:off x="7260566" y="8369420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56</xdr:row>
      <xdr:rowOff>0</xdr:rowOff>
    </xdr:from>
    <xdr:ext cx="304800" cy="302284"/>
    <xdr:sp macro="" textlink="">
      <xdr:nvSpPr>
        <xdr:cNvPr id="139" name="AutoShape 10" descr="Wasps">
          <a:extLst>
            <a:ext uri="{FF2B5EF4-FFF2-40B4-BE49-F238E27FC236}">
              <a16:creationId xmlns:a16="http://schemas.microsoft.com/office/drawing/2014/main" id="{2B200D00-942A-49D6-871C-91BF56B3DE99}"/>
            </a:ext>
          </a:extLst>
        </xdr:cNvPr>
        <xdr:cNvSpPr>
          <a:spLocks noChangeAspect="1" noChangeArrowheads="1"/>
        </xdr:cNvSpPr>
      </xdr:nvSpPr>
      <xdr:spPr bwMode="auto">
        <a:xfrm>
          <a:off x="6599208" y="967883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</xdr:row>
      <xdr:rowOff>0</xdr:rowOff>
    </xdr:from>
    <xdr:ext cx="304800" cy="302284"/>
    <xdr:sp macro="" textlink="">
      <xdr:nvSpPr>
        <xdr:cNvPr id="140" name="AutoShape 1" descr="Bristol Bears">
          <a:extLst>
            <a:ext uri="{FF2B5EF4-FFF2-40B4-BE49-F238E27FC236}">
              <a16:creationId xmlns:a16="http://schemas.microsoft.com/office/drawing/2014/main" id="{E94BD7A2-C0BB-41C9-BB8F-CB69479E9959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56934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4</xdr:row>
      <xdr:rowOff>0</xdr:rowOff>
    </xdr:from>
    <xdr:ext cx="304800" cy="302284"/>
    <xdr:sp macro="" textlink="">
      <xdr:nvSpPr>
        <xdr:cNvPr id="141" name="AutoShape 2" descr="Exeter Chiefs">
          <a:extLst>
            <a:ext uri="{FF2B5EF4-FFF2-40B4-BE49-F238E27FC236}">
              <a16:creationId xmlns:a16="http://schemas.microsoft.com/office/drawing/2014/main" id="{2C4A5F75-2195-49FC-97B2-8A2B6C62E4B5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75912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2284"/>
    <xdr:sp macro="" textlink="">
      <xdr:nvSpPr>
        <xdr:cNvPr id="142" name="AutoShape 3" descr="Harlequins">
          <a:extLst>
            <a:ext uri="{FF2B5EF4-FFF2-40B4-BE49-F238E27FC236}">
              <a16:creationId xmlns:a16="http://schemas.microsoft.com/office/drawing/2014/main" id="{56DCAB92-B44C-4943-8EAC-7F5B3E65D139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94890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2284"/>
    <xdr:sp macro="" textlink="">
      <xdr:nvSpPr>
        <xdr:cNvPr id="143" name="AutoShape 4" descr="Sale Sharks">
          <a:extLst>
            <a:ext uri="{FF2B5EF4-FFF2-40B4-BE49-F238E27FC236}">
              <a16:creationId xmlns:a16="http://schemas.microsoft.com/office/drawing/2014/main" id="{2C6A96F1-6926-483C-B25C-083F17AF5DB7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113868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13</xdr:row>
      <xdr:rowOff>0</xdr:rowOff>
    </xdr:from>
    <xdr:ext cx="304800" cy="302284"/>
    <xdr:sp macro="" textlink="">
      <xdr:nvSpPr>
        <xdr:cNvPr id="144" name="AutoShape 5" descr="Northampton Saints">
          <a:extLst>
            <a:ext uri="{FF2B5EF4-FFF2-40B4-BE49-F238E27FC236}">
              <a16:creationId xmlns:a16="http://schemas.microsoft.com/office/drawing/2014/main" id="{066A4FBD-C4DD-40FA-9754-6CB9D4DA1FAC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132846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14</xdr:row>
      <xdr:rowOff>0</xdr:rowOff>
    </xdr:from>
    <xdr:ext cx="304800" cy="302284"/>
    <xdr:sp macro="" textlink="">
      <xdr:nvSpPr>
        <xdr:cNvPr id="145" name="AutoShape 6" descr="London Irish">
          <a:extLst>
            <a:ext uri="{FF2B5EF4-FFF2-40B4-BE49-F238E27FC236}">
              <a16:creationId xmlns:a16="http://schemas.microsoft.com/office/drawing/2014/main" id="{2F025D8F-D57B-4CE4-86F6-0DD130B7A87E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151824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15</xdr:row>
      <xdr:rowOff>0</xdr:rowOff>
    </xdr:from>
    <xdr:ext cx="304800" cy="302284"/>
    <xdr:sp macro="" textlink="">
      <xdr:nvSpPr>
        <xdr:cNvPr id="146" name="AutoShape 7" descr="Leicester Tigers">
          <a:extLst>
            <a:ext uri="{FF2B5EF4-FFF2-40B4-BE49-F238E27FC236}">
              <a16:creationId xmlns:a16="http://schemas.microsoft.com/office/drawing/2014/main" id="{A77615CF-40D5-44E7-91A7-E0F3B24158E3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170803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16</xdr:row>
      <xdr:rowOff>0</xdr:rowOff>
    </xdr:from>
    <xdr:ext cx="304800" cy="302284"/>
    <xdr:sp macro="" textlink="">
      <xdr:nvSpPr>
        <xdr:cNvPr id="147" name="AutoShape 8" descr="Newcastle Falcons">
          <a:extLst>
            <a:ext uri="{FF2B5EF4-FFF2-40B4-BE49-F238E27FC236}">
              <a16:creationId xmlns:a16="http://schemas.microsoft.com/office/drawing/2014/main" id="{5F37E146-7BF1-4D47-8EED-B44A9D82B3D6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189781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609600</xdr:colOff>
      <xdr:row>11</xdr:row>
      <xdr:rowOff>19050</xdr:rowOff>
    </xdr:from>
    <xdr:ext cx="298150" cy="302284"/>
    <xdr:sp macro="" textlink="">
      <xdr:nvSpPr>
        <xdr:cNvPr id="148" name="AutoShape 9" descr="Bath Rugby">
          <a:extLst>
            <a:ext uri="{FF2B5EF4-FFF2-40B4-BE49-F238E27FC236}">
              <a16:creationId xmlns:a16="http://schemas.microsoft.com/office/drawing/2014/main" id="{10C762D1-C8F0-4F32-AE1A-9093B3C2A25A}"/>
            </a:ext>
          </a:extLst>
        </xdr:cNvPr>
        <xdr:cNvSpPr>
          <a:spLocks noChangeAspect="1" noChangeArrowheads="1"/>
        </xdr:cNvSpPr>
      </xdr:nvSpPr>
      <xdr:spPr bwMode="auto">
        <a:xfrm>
          <a:off x="11263223" y="2106642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51759</xdr:colOff>
      <xdr:row>17</xdr:row>
      <xdr:rowOff>181156</xdr:rowOff>
    </xdr:from>
    <xdr:ext cx="304800" cy="302284"/>
    <xdr:sp macro="" textlink="">
      <xdr:nvSpPr>
        <xdr:cNvPr id="149" name="AutoShape 10" descr="Wasps">
          <a:extLst>
            <a:ext uri="{FF2B5EF4-FFF2-40B4-BE49-F238E27FC236}">
              <a16:creationId xmlns:a16="http://schemas.microsoft.com/office/drawing/2014/main" id="{776F75DE-A241-48DD-8DFD-5C9CE2CD50AA}"/>
            </a:ext>
          </a:extLst>
        </xdr:cNvPr>
        <xdr:cNvSpPr>
          <a:spLocks noChangeAspect="1" noChangeArrowheads="1"/>
        </xdr:cNvSpPr>
      </xdr:nvSpPr>
      <xdr:spPr bwMode="auto">
        <a:xfrm>
          <a:off x="11317857" y="226874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23</xdr:row>
      <xdr:rowOff>0</xdr:rowOff>
    </xdr:from>
    <xdr:ext cx="304800" cy="302284"/>
    <xdr:sp macro="" textlink="">
      <xdr:nvSpPr>
        <xdr:cNvPr id="150" name="AutoShape 1" descr="Bristol Bears">
          <a:extLst>
            <a:ext uri="{FF2B5EF4-FFF2-40B4-BE49-F238E27FC236}">
              <a16:creationId xmlns:a16="http://schemas.microsoft.com/office/drawing/2014/main" id="{736014B6-2DD6-4F43-95C5-91AA1A79FECE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322627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24</xdr:row>
      <xdr:rowOff>0</xdr:rowOff>
    </xdr:from>
    <xdr:ext cx="304800" cy="302284"/>
    <xdr:sp macro="" textlink="">
      <xdr:nvSpPr>
        <xdr:cNvPr id="151" name="AutoShape 2" descr="Exeter Chiefs">
          <a:extLst>
            <a:ext uri="{FF2B5EF4-FFF2-40B4-BE49-F238E27FC236}">
              <a16:creationId xmlns:a16="http://schemas.microsoft.com/office/drawing/2014/main" id="{488FE15C-8D6A-4C9B-A304-41DDBB340A27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341606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25</xdr:row>
      <xdr:rowOff>0</xdr:rowOff>
    </xdr:from>
    <xdr:ext cx="304800" cy="302284"/>
    <xdr:sp macro="" textlink="">
      <xdr:nvSpPr>
        <xdr:cNvPr id="152" name="AutoShape 3" descr="Harlequins">
          <a:extLst>
            <a:ext uri="{FF2B5EF4-FFF2-40B4-BE49-F238E27FC236}">
              <a16:creationId xmlns:a16="http://schemas.microsoft.com/office/drawing/2014/main" id="{EAF5FC43-5EB4-41CC-891D-3D538C50A726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360584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26</xdr:row>
      <xdr:rowOff>0</xdr:rowOff>
    </xdr:from>
    <xdr:ext cx="304800" cy="302284"/>
    <xdr:sp macro="" textlink="">
      <xdr:nvSpPr>
        <xdr:cNvPr id="153" name="AutoShape 4" descr="Sale Sharks">
          <a:extLst>
            <a:ext uri="{FF2B5EF4-FFF2-40B4-BE49-F238E27FC236}">
              <a16:creationId xmlns:a16="http://schemas.microsoft.com/office/drawing/2014/main" id="{B695B684-35D8-4DDD-9FD4-B2A6CB5EE5A6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379562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33</xdr:row>
      <xdr:rowOff>0</xdr:rowOff>
    </xdr:from>
    <xdr:ext cx="304800" cy="302284"/>
    <xdr:sp macro="" textlink="">
      <xdr:nvSpPr>
        <xdr:cNvPr id="154" name="AutoShape 5" descr="Northampton Saints">
          <a:extLst>
            <a:ext uri="{FF2B5EF4-FFF2-40B4-BE49-F238E27FC236}">
              <a16:creationId xmlns:a16="http://schemas.microsoft.com/office/drawing/2014/main" id="{DA6FFEF8-8A75-418E-8D6F-F0A9B1E00DCB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398540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34</xdr:row>
      <xdr:rowOff>0</xdr:rowOff>
    </xdr:from>
    <xdr:ext cx="304800" cy="302284"/>
    <xdr:sp macro="" textlink="">
      <xdr:nvSpPr>
        <xdr:cNvPr id="155" name="AutoShape 6" descr="London Irish">
          <a:extLst>
            <a:ext uri="{FF2B5EF4-FFF2-40B4-BE49-F238E27FC236}">
              <a16:creationId xmlns:a16="http://schemas.microsoft.com/office/drawing/2014/main" id="{D89B4EEE-9B5E-4653-B21A-30A66E3F011F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417518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35</xdr:row>
      <xdr:rowOff>0</xdr:rowOff>
    </xdr:from>
    <xdr:ext cx="304800" cy="302284"/>
    <xdr:sp macro="" textlink="">
      <xdr:nvSpPr>
        <xdr:cNvPr id="156" name="AutoShape 7" descr="Leicester Tigers">
          <a:extLst>
            <a:ext uri="{FF2B5EF4-FFF2-40B4-BE49-F238E27FC236}">
              <a16:creationId xmlns:a16="http://schemas.microsoft.com/office/drawing/2014/main" id="{9CE6684A-D098-441D-9ED3-8C27EF1AFB4C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436496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129396</xdr:colOff>
      <xdr:row>40</xdr:row>
      <xdr:rowOff>112143</xdr:rowOff>
    </xdr:from>
    <xdr:ext cx="304800" cy="302284"/>
    <xdr:sp macro="" textlink="">
      <xdr:nvSpPr>
        <xdr:cNvPr id="157" name="AutoShape 1" descr="Bristol Bears">
          <a:extLst>
            <a:ext uri="{FF2B5EF4-FFF2-40B4-BE49-F238E27FC236}">
              <a16:creationId xmlns:a16="http://schemas.microsoft.com/office/drawing/2014/main" id="{941E62E3-65B0-4AF6-B9FF-A38228E7AA27}"/>
            </a:ext>
          </a:extLst>
        </xdr:cNvPr>
        <xdr:cNvSpPr>
          <a:spLocks noChangeAspect="1" noChangeArrowheads="1"/>
        </xdr:cNvSpPr>
      </xdr:nvSpPr>
      <xdr:spPr bwMode="auto">
        <a:xfrm>
          <a:off x="11861321" y="542601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42</xdr:row>
      <xdr:rowOff>0</xdr:rowOff>
    </xdr:from>
    <xdr:ext cx="304800" cy="302284"/>
    <xdr:sp macro="" textlink="">
      <xdr:nvSpPr>
        <xdr:cNvPr id="158" name="AutoShape 2" descr="Exeter Chiefs">
          <a:extLst>
            <a:ext uri="{FF2B5EF4-FFF2-40B4-BE49-F238E27FC236}">
              <a16:creationId xmlns:a16="http://schemas.microsoft.com/office/drawing/2014/main" id="{C527C3BB-FB90-45F2-8A2E-D58D203C4DBC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569343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43</xdr:row>
      <xdr:rowOff>0</xdr:rowOff>
    </xdr:from>
    <xdr:ext cx="304800" cy="302284"/>
    <xdr:sp macro="" textlink="">
      <xdr:nvSpPr>
        <xdr:cNvPr id="159" name="AutoShape 3" descr="Harlequins">
          <a:extLst>
            <a:ext uri="{FF2B5EF4-FFF2-40B4-BE49-F238E27FC236}">
              <a16:creationId xmlns:a16="http://schemas.microsoft.com/office/drawing/2014/main" id="{E65DA8FB-E340-4523-BE82-77DD78340726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588321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44</xdr:row>
      <xdr:rowOff>0</xdr:rowOff>
    </xdr:from>
    <xdr:ext cx="304800" cy="302284"/>
    <xdr:sp macro="" textlink="">
      <xdr:nvSpPr>
        <xdr:cNvPr id="160" name="AutoShape 4" descr="Sale Sharks">
          <a:extLst>
            <a:ext uri="{FF2B5EF4-FFF2-40B4-BE49-F238E27FC236}">
              <a16:creationId xmlns:a16="http://schemas.microsoft.com/office/drawing/2014/main" id="{1FD6B334-A3AE-4942-8C42-FD5B650AFCA9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607299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51</xdr:row>
      <xdr:rowOff>0</xdr:rowOff>
    </xdr:from>
    <xdr:ext cx="304800" cy="302284"/>
    <xdr:sp macro="" textlink="">
      <xdr:nvSpPr>
        <xdr:cNvPr id="161" name="AutoShape 5" descr="Northampton Saints">
          <a:extLst>
            <a:ext uri="{FF2B5EF4-FFF2-40B4-BE49-F238E27FC236}">
              <a16:creationId xmlns:a16="http://schemas.microsoft.com/office/drawing/2014/main" id="{E3E3D047-B47E-4712-BD76-8ADF86CACAF0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626277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52</xdr:row>
      <xdr:rowOff>0</xdr:rowOff>
    </xdr:from>
    <xdr:ext cx="304800" cy="302284"/>
    <xdr:sp macro="" textlink="">
      <xdr:nvSpPr>
        <xdr:cNvPr id="162" name="AutoShape 6" descr="London Irish">
          <a:extLst>
            <a:ext uri="{FF2B5EF4-FFF2-40B4-BE49-F238E27FC236}">
              <a16:creationId xmlns:a16="http://schemas.microsoft.com/office/drawing/2014/main" id="{956B372C-59AF-404F-8F64-07912CE4F898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645255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53</xdr:row>
      <xdr:rowOff>0</xdr:rowOff>
    </xdr:from>
    <xdr:ext cx="304800" cy="302284"/>
    <xdr:sp macro="" textlink="">
      <xdr:nvSpPr>
        <xdr:cNvPr id="163" name="AutoShape 7" descr="Leicester Tigers">
          <a:extLst>
            <a:ext uri="{FF2B5EF4-FFF2-40B4-BE49-F238E27FC236}">
              <a16:creationId xmlns:a16="http://schemas.microsoft.com/office/drawing/2014/main" id="{1D3F9DFE-7426-4CED-BD95-C626526A3227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664234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21168</xdr:colOff>
      <xdr:row>54</xdr:row>
      <xdr:rowOff>0</xdr:rowOff>
    </xdr:from>
    <xdr:ext cx="304800" cy="302284"/>
    <xdr:sp macro="" textlink="">
      <xdr:nvSpPr>
        <xdr:cNvPr id="164" name="AutoShape 8" descr="Newcastle Falcons">
          <a:extLst>
            <a:ext uri="{FF2B5EF4-FFF2-40B4-BE49-F238E27FC236}">
              <a16:creationId xmlns:a16="http://schemas.microsoft.com/office/drawing/2014/main" id="{7D758AD3-8D34-4345-9B6E-B16F29D2CA8A}"/>
            </a:ext>
          </a:extLst>
        </xdr:cNvPr>
        <xdr:cNvSpPr>
          <a:spLocks noChangeAspect="1" noChangeArrowheads="1"/>
        </xdr:cNvSpPr>
      </xdr:nvSpPr>
      <xdr:spPr bwMode="auto">
        <a:xfrm>
          <a:off x="11287266" y="683212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21</xdr:row>
      <xdr:rowOff>0</xdr:rowOff>
    </xdr:from>
    <xdr:ext cx="304800" cy="310911"/>
    <xdr:sp macro="" textlink="">
      <xdr:nvSpPr>
        <xdr:cNvPr id="165" name="AutoShape 1" descr="Bristol Bears">
          <a:extLst>
            <a:ext uri="{FF2B5EF4-FFF2-40B4-BE49-F238E27FC236}">
              <a16:creationId xmlns:a16="http://schemas.microsoft.com/office/drawing/2014/main" id="{65B8D859-E9BB-4F4A-AADF-4C9AAE81F62A}"/>
            </a:ext>
          </a:extLst>
        </xdr:cNvPr>
        <xdr:cNvSpPr>
          <a:spLocks noChangeAspect="1" noChangeArrowheads="1"/>
        </xdr:cNvSpPr>
      </xdr:nvSpPr>
      <xdr:spPr bwMode="auto">
        <a:xfrm>
          <a:off x="7228936" y="379562"/>
          <a:ext cx="304800" cy="310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51758</xdr:colOff>
      <xdr:row>31</xdr:row>
      <xdr:rowOff>51758</xdr:rowOff>
    </xdr:from>
    <xdr:ext cx="304800" cy="310910"/>
    <xdr:sp macro="" textlink="">
      <xdr:nvSpPr>
        <xdr:cNvPr id="166" name="AutoShape 2" descr="Exeter Chiefs">
          <a:extLst>
            <a:ext uri="{FF2B5EF4-FFF2-40B4-BE49-F238E27FC236}">
              <a16:creationId xmlns:a16="http://schemas.microsoft.com/office/drawing/2014/main" id="{EDAC30CA-E5B2-4799-8F84-C582F499D0F2}"/>
            </a:ext>
          </a:extLst>
        </xdr:cNvPr>
        <xdr:cNvSpPr>
          <a:spLocks noChangeAspect="1" noChangeArrowheads="1"/>
        </xdr:cNvSpPr>
      </xdr:nvSpPr>
      <xdr:spPr bwMode="auto">
        <a:xfrm>
          <a:off x="7280694" y="5934973"/>
          <a:ext cx="304800" cy="310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23</xdr:row>
      <xdr:rowOff>0</xdr:rowOff>
    </xdr:from>
    <xdr:ext cx="304800" cy="492065"/>
    <xdr:sp macro="" textlink="">
      <xdr:nvSpPr>
        <xdr:cNvPr id="167" name="AutoShape 3" descr="Harlequins">
          <a:extLst>
            <a:ext uri="{FF2B5EF4-FFF2-40B4-BE49-F238E27FC236}">
              <a16:creationId xmlns:a16="http://schemas.microsoft.com/office/drawing/2014/main" id="{927E6A18-005E-47AA-A3BE-38CAF4D7A1DC}"/>
            </a:ext>
          </a:extLst>
        </xdr:cNvPr>
        <xdr:cNvSpPr>
          <a:spLocks noChangeAspect="1" noChangeArrowheads="1"/>
        </xdr:cNvSpPr>
      </xdr:nvSpPr>
      <xdr:spPr bwMode="auto">
        <a:xfrm>
          <a:off x="7228936" y="759125"/>
          <a:ext cx="304800" cy="492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</xdr:row>
      <xdr:rowOff>0</xdr:rowOff>
    </xdr:from>
    <xdr:ext cx="304800" cy="310911"/>
    <xdr:sp macro="" textlink="">
      <xdr:nvSpPr>
        <xdr:cNvPr id="168" name="AutoShape 4" descr="Sale Sharks">
          <a:extLst>
            <a:ext uri="{FF2B5EF4-FFF2-40B4-BE49-F238E27FC236}">
              <a16:creationId xmlns:a16="http://schemas.microsoft.com/office/drawing/2014/main" id="{CC466834-AC09-41A4-A792-FACD98D8DABF}"/>
            </a:ext>
          </a:extLst>
        </xdr:cNvPr>
        <xdr:cNvSpPr>
          <a:spLocks noChangeAspect="1" noChangeArrowheads="1"/>
        </xdr:cNvSpPr>
      </xdr:nvSpPr>
      <xdr:spPr bwMode="auto">
        <a:xfrm>
          <a:off x="7228936" y="948906"/>
          <a:ext cx="304800" cy="310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304800" cy="492065"/>
    <xdr:sp macro="" textlink="">
      <xdr:nvSpPr>
        <xdr:cNvPr id="169" name="AutoShape 5" descr="Northampton Saints">
          <a:extLst>
            <a:ext uri="{FF2B5EF4-FFF2-40B4-BE49-F238E27FC236}">
              <a16:creationId xmlns:a16="http://schemas.microsoft.com/office/drawing/2014/main" id="{117BB52F-5976-41EA-AC9D-FC203B981593}"/>
            </a:ext>
          </a:extLst>
        </xdr:cNvPr>
        <xdr:cNvSpPr>
          <a:spLocks noChangeAspect="1" noChangeArrowheads="1"/>
        </xdr:cNvSpPr>
      </xdr:nvSpPr>
      <xdr:spPr bwMode="auto">
        <a:xfrm>
          <a:off x="7228936" y="2277374"/>
          <a:ext cx="304800" cy="492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304800" cy="492064"/>
    <xdr:sp macro="" textlink="">
      <xdr:nvSpPr>
        <xdr:cNvPr id="170" name="AutoShape 6" descr="London Irish">
          <a:extLst>
            <a:ext uri="{FF2B5EF4-FFF2-40B4-BE49-F238E27FC236}">
              <a16:creationId xmlns:a16="http://schemas.microsoft.com/office/drawing/2014/main" id="{28295568-C2E4-488D-8762-E59B8FEE877C}"/>
            </a:ext>
          </a:extLst>
        </xdr:cNvPr>
        <xdr:cNvSpPr>
          <a:spLocks noChangeAspect="1" noChangeArrowheads="1"/>
        </xdr:cNvSpPr>
      </xdr:nvSpPr>
      <xdr:spPr bwMode="auto">
        <a:xfrm>
          <a:off x="7228936" y="2467155"/>
          <a:ext cx="304800" cy="492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304800" cy="492066"/>
    <xdr:sp macro="" textlink="">
      <xdr:nvSpPr>
        <xdr:cNvPr id="171" name="AutoShape 7" descr="Leicester Tigers">
          <a:extLst>
            <a:ext uri="{FF2B5EF4-FFF2-40B4-BE49-F238E27FC236}">
              <a16:creationId xmlns:a16="http://schemas.microsoft.com/office/drawing/2014/main" id="{F4E0243C-5B9A-4554-BC17-A0E0EB222B90}"/>
            </a:ext>
          </a:extLst>
        </xdr:cNvPr>
        <xdr:cNvSpPr>
          <a:spLocks noChangeAspect="1" noChangeArrowheads="1"/>
        </xdr:cNvSpPr>
      </xdr:nvSpPr>
      <xdr:spPr bwMode="auto">
        <a:xfrm>
          <a:off x="7228936" y="2656936"/>
          <a:ext cx="304800" cy="4920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34</xdr:row>
      <xdr:rowOff>0</xdr:rowOff>
    </xdr:from>
    <xdr:ext cx="304800" cy="492065"/>
    <xdr:sp macro="" textlink="">
      <xdr:nvSpPr>
        <xdr:cNvPr id="172" name="AutoShape 8" descr="Newcastle Falcons">
          <a:extLst>
            <a:ext uri="{FF2B5EF4-FFF2-40B4-BE49-F238E27FC236}">
              <a16:creationId xmlns:a16="http://schemas.microsoft.com/office/drawing/2014/main" id="{562B785C-7E0E-4731-AE4E-BA7FA418036A}"/>
            </a:ext>
          </a:extLst>
        </xdr:cNvPr>
        <xdr:cNvSpPr>
          <a:spLocks noChangeAspect="1" noChangeArrowheads="1"/>
        </xdr:cNvSpPr>
      </xdr:nvSpPr>
      <xdr:spPr bwMode="auto">
        <a:xfrm>
          <a:off x="7228936" y="2846717"/>
          <a:ext cx="304800" cy="492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609600</xdr:colOff>
      <xdr:row>34</xdr:row>
      <xdr:rowOff>19050</xdr:rowOff>
    </xdr:from>
    <xdr:ext cx="298150" cy="310910"/>
    <xdr:sp macro="" textlink="">
      <xdr:nvSpPr>
        <xdr:cNvPr id="173" name="AutoShape 9" descr="Bath Rugby">
          <a:extLst>
            <a:ext uri="{FF2B5EF4-FFF2-40B4-BE49-F238E27FC236}">
              <a16:creationId xmlns:a16="http://schemas.microsoft.com/office/drawing/2014/main" id="{A119EF42-454B-4A5B-9DF1-D50126308EF0}"/>
            </a:ext>
          </a:extLst>
        </xdr:cNvPr>
        <xdr:cNvSpPr>
          <a:spLocks noChangeAspect="1" noChangeArrowheads="1"/>
        </xdr:cNvSpPr>
      </xdr:nvSpPr>
      <xdr:spPr bwMode="auto">
        <a:xfrm>
          <a:off x="7226061" y="3055548"/>
          <a:ext cx="298150" cy="310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304800" cy="310910"/>
    <xdr:sp macro="" textlink="">
      <xdr:nvSpPr>
        <xdr:cNvPr id="174" name="AutoShape 11" descr="Gloucester Rugby">
          <a:extLst>
            <a:ext uri="{FF2B5EF4-FFF2-40B4-BE49-F238E27FC236}">
              <a16:creationId xmlns:a16="http://schemas.microsoft.com/office/drawing/2014/main" id="{73FEEA0F-8C66-4177-BB11-ECF2E827ECFA}"/>
            </a:ext>
          </a:extLst>
        </xdr:cNvPr>
        <xdr:cNvSpPr>
          <a:spLocks noChangeAspect="1" noChangeArrowheads="1"/>
        </xdr:cNvSpPr>
      </xdr:nvSpPr>
      <xdr:spPr bwMode="auto">
        <a:xfrm>
          <a:off x="7228936" y="6642340"/>
          <a:ext cx="304800" cy="310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39</xdr:row>
      <xdr:rowOff>0</xdr:rowOff>
    </xdr:from>
    <xdr:ext cx="304800" cy="302284"/>
    <xdr:sp macro="" textlink="">
      <xdr:nvSpPr>
        <xdr:cNvPr id="175" name="AutoShape 10" descr="Wasps">
          <a:extLst>
            <a:ext uri="{FF2B5EF4-FFF2-40B4-BE49-F238E27FC236}">
              <a16:creationId xmlns:a16="http://schemas.microsoft.com/office/drawing/2014/main" id="{3D944291-0D90-4E11-B6BD-3CEF80A7939D}"/>
            </a:ext>
          </a:extLst>
        </xdr:cNvPr>
        <xdr:cNvSpPr>
          <a:spLocks noChangeAspect="1" noChangeArrowheads="1"/>
        </xdr:cNvSpPr>
      </xdr:nvSpPr>
      <xdr:spPr bwMode="auto">
        <a:xfrm>
          <a:off x="7228936" y="379562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39</xdr:row>
      <xdr:rowOff>0</xdr:rowOff>
    </xdr:from>
    <xdr:ext cx="304800" cy="302284"/>
    <xdr:sp macro="" textlink="">
      <xdr:nvSpPr>
        <xdr:cNvPr id="176" name="AutoShape 10" descr="Wasps">
          <a:extLst>
            <a:ext uri="{FF2B5EF4-FFF2-40B4-BE49-F238E27FC236}">
              <a16:creationId xmlns:a16="http://schemas.microsoft.com/office/drawing/2014/main" id="{3BB9E9C5-0930-4D51-B314-0D36AE4B1100}"/>
            </a:ext>
          </a:extLst>
        </xdr:cNvPr>
        <xdr:cNvSpPr>
          <a:spLocks noChangeAspect="1" noChangeArrowheads="1"/>
        </xdr:cNvSpPr>
      </xdr:nvSpPr>
      <xdr:spPr bwMode="auto">
        <a:xfrm>
          <a:off x="7228936" y="379562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304800" cy="302284"/>
    <xdr:sp macro="" textlink="">
      <xdr:nvSpPr>
        <xdr:cNvPr id="177" name="AutoShape 10" descr="Wasps">
          <a:extLst>
            <a:ext uri="{FF2B5EF4-FFF2-40B4-BE49-F238E27FC236}">
              <a16:creationId xmlns:a16="http://schemas.microsoft.com/office/drawing/2014/main" id="{885F7C28-4262-4754-A17A-8D0F33AA50FF}"/>
            </a:ext>
          </a:extLst>
        </xdr:cNvPr>
        <xdr:cNvSpPr>
          <a:spLocks noChangeAspect="1" noChangeArrowheads="1"/>
        </xdr:cNvSpPr>
      </xdr:nvSpPr>
      <xdr:spPr bwMode="auto">
        <a:xfrm>
          <a:off x="7228936" y="398540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304800" cy="302284"/>
    <xdr:sp macro="" textlink="">
      <xdr:nvSpPr>
        <xdr:cNvPr id="178" name="AutoShape 10" descr="Wasps">
          <a:extLst>
            <a:ext uri="{FF2B5EF4-FFF2-40B4-BE49-F238E27FC236}">
              <a16:creationId xmlns:a16="http://schemas.microsoft.com/office/drawing/2014/main" id="{427ECF04-4317-4CEE-B0C8-F44D293ABDB7}"/>
            </a:ext>
          </a:extLst>
        </xdr:cNvPr>
        <xdr:cNvSpPr>
          <a:spLocks noChangeAspect="1" noChangeArrowheads="1"/>
        </xdr:cNvSpPr>
      </xdr:nvSpPr>
      <xdr:spPr bwMode="auto">
        <a:xfrm>
          <a:off x="7228936" y="398540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304800" cy="302284"/>
    <xdr:sp macro="" textlink="">
      <xdr:nvSpPr>
        <xdr:cNvPr id="179" name="AutoShape 10" descr="Wasps">
          <a:extLst>
            <a:ext uri="{FF2B5EF4-FFF2-40B4-BE49-F238E27FC236}">
              <a16:creationId xmlns:a16="http://schemas.microsoft.com/office/drawing/2014/main" id="{124B643D-820A-4A16-88DB-DCABE2C2C441}"/>
            </a:ext>
          </a:extLst>
        </xdr:cNvPr>
        <xdr:cNvSpPr>
          <a:spLocks noChangeAspect="1" noChangeArrowheads="1"/>
        </xdr:cNvSpPr>
      </xdr:nvSpPr>
      <xdr:spPr bwMode="auto">
        <a:xfrm>
          <a:off x="7228936" y="398540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94891</xdr:colOff>
      <xdr:row>46</xdr:row>
      <xdr:rowOff>43132</xdr:rowOff>
    </xdr:from>
    <xdr:ext cx="304800" cy="302284"/>
    <xdr:sp macro="" textlink="">
      <xdr:nvSpPr>
        <xdr:cNvPr id="180" name="AutoShape 10" descr="Wasps">
          <a:extLst>
            <a:ext uri="{FF2B5EF4-FFF2-40B4-BE49-F238E27FC236}">
              <a16:creationId xmlns:a16="http://schemas.microsoft.com/office/drawing/2014/main" id="{71A6B8B4-B94B-4645-A99B-802EBE7A79E1}"/>
            </a:ext>
          </a:extLst>
        </xdr:cNvPr>
        <xdr:cNvSpPr>
          <a:spLocks noChangeAspect="1" noChangeArrowheads="1"/>
        </xdr:cNvSpPr>
      </xdr:nvSpPr>
      <xdr:spPr bwMode="auto">
        <a:xfrm>
          <a:off x="7056408" y="877306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41</xdr:row>
      <xdr:rowOff>0</xdr:rowOff>
    </xdr:from>
    <xdr:ext cx="304800" cy="302284"/>
    <xdr:sp macro="" textlink="">
      <xdr:nvSpPr>
        <xdr:cNvPr id="181" name="AutoShape 10" descr="Wasps">
          <a:extLst>
            <a:ext uri="{FF2B5EF4-FFF2-40B4-BE49-F238E27FC236}">
              <a16:creationId xmlns:a16="http://schemas.microsoft.com/office/drawing/2014/main" id="{43EAFC21-0263-461F-808D-61383A34EF4B}"/>
            </a:ext>
          </a:extLst>
        </xdr:cNvPr>
        <xdr:cNvSpPr>
          <a:spLocks noChangeAspect="1" noChangeArrowheads="1"/>
        </xdr:cNvSpPr>
      </xdr:nvSpPr>
      <xdr:spPr bwMode="auto">
        <a:xfrm>
          <a:off x="7228936" y="417518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41</xdr:row>
      <xdr:rowOff>0</xdr:rowOff>
    </xdr:from>
    <xdr:ext cx="304800" cy="302284"/>
    <xdr:sp macro="" textlink="">
      <xdr:nvSpPr>
        <xdr:cNvPr id="182" name="AutoShape 10" descr="Wasps">
          <a:extLst>
            <a:ext uri="{FF2B5EF4-FFF2-40B4-BE49-F238E27FC236}">
              <a16:creationId xmlns:a16="http://schemas.microsoft.com/office/drawing/2014/main" id="{565E3615-6595-4892-966A-71273B4EDACB}"/>
            </a:ext>
          </a:extLst>
        </xdr:cNvPr>
        <xdr:cNvSpPr>
          <a:spLocks noChangeAspect="1" noChangeArrowheads="1"/>
        </xdr:cNvSpPr>
      </xdr:nvSpPr>
      <xdr:spPr bwMode="auto">
        <a:xfrm>
          <a:off x="7228936" y="417518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42</xdr:row>
      <xdr:rowOff>0</xdr:rowOff>
    </xdr:from>
    <xdr:ext cx="304800" cy="302284"/>
    <xdr:sp macro="" textlink="">
      <xdr:nvSpPr>
        <xdr:cNvPr id="183" name="AutoShape 10" descr="Wasps">
          <a:extLst>
            <a:ext uri="{FF2B5EF4-FFF2-40B4-BE49-F238E27FC236}">
              <a16:creationId xmlns:a16="http://schemas.microsoft.com/office/drawing/2014/main" id="{59EE46ED-65EE-4A83-80A3-03063DCBCBB8}"/>
            </a:ext>
          </a:extLst>
        </xdr:cNvPr>
        <xdr:cNvSpPr>
          <a:spLocks noChangeAspect="1" noChangeArrowheads="1"/>
        </xdr:cNvSpPr>
      </xdr:nvSpPr>
      <xdr:spPr bwMode="auto">
        <a:xfrm>
          <a:off x="7228936" y="436496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42</xdr:row>
      <xdr:rowOff>0</xdr:rowOff>
    </xdr:from>
    <xdr:ext cx="304800" cy="302284"/>
    <xdr:sp macro="" textlink="">
      <xdr:nvSpPr>
        <xdr:cNvPr id="184" name="AutoShape 10" descr="Wasps">
          <a:extLst>
            <a:ext uri="{FF2B5EF4-FFF2-40B4-BE49-F238E27FC236}">
              <a16:creationId xmlns:a16="http://schemas.microsoft.com/office/drawing/2014/main" id="{B1616A99-44A2-4F48-B933-1405757C4591}"/>
            </a:ext>
          </a:extLst>
        </xdr:cNvPr>
        <xdr:cNvSpPr>
          <a:spLocks noChangeAspect="1" noChangeArrowheads="1"/>
        </xdr:cNvSpPr>
      </xdr:nvSpPr>
      <xdr:spPr bwMode="auto">
        <a:xfrm>
          <a:off x="7228936" y="436496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43</xdr:row>
      <xdr:rowOff>0</xdr:rowOff>
    </xdr:from>
    <xdr:ext cx="304800" cy="302284"/>
    <xdr:sp macro="" textlink="">
      <xdr:nvSpPr>
        <xdr:cNvPr id="185" name="AutoShape 10" descr="Wasps">
          <a:extLst>
            <a:ext uri="{FF2B5EF4-FFF2-40B4-BE49-F238E27FC236}">
              <a16:creationId xmlns:a16="http://schemas.microsoft.com/office/drawing/2014/main" id="{757B89EC-3DB7-43A6-A1BE-701FC15A1ECF}"/>
            </a:ext>
          </a:extLst>
        </xdr:cNvPr>
        <xdr:cNvSpPr>
          <a:spLocks noChangeAspect="1" noChangeArrowheads="1"/>
        </xdr:cNvSpPr>
      </xdr:nvSpPr>
      <xdr:spPr bwMode="auto">
        <a:xfrm>
          <a:off x="7228936" y="455474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43</xdr:row>
      <xdr:rowOff>0</xdr:rowOff>
    </xdr:from>
    <xdr:ext cx="304800" cy="302284"/>
    <xdr:sp macro="" textlink="">
      <xdr:nvSpPr>
        <xdr:cNvPr id="186" name="AutoShape 10" descr="Wasps">
          <a:extLst>
            <a:ext uri="{FF2B5EF4-FFF2-40B4-BE49-F238E27FC236}">
              <a16:creationId xmlns:a16="http://schemas.microsoft.com/office/drawing/2014/main" id="{55FB86F9-3C99-4744-8369-EE818DE163E3}"/>
            </a:ext>
          </a:extLst>
        </xdr:cNvPr>
        <xdr:cNvSpPr>
          <a:spLocks noChangeAspect="1" noChangeArrowheads="1"/>
        </xdr:cNvSpPr>
      </xdr:nvSpPr>
      <xdr:spPr bwMode="auto">
        <a:xfrm>
          <a:off x="7228936" y="455474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304800" cy="302284"/>
    <xdr:sp macro="" textlink="">
      <xdr:nvSpPr>
        <xdr:cNvPr id="187" name="AutoShape 10" descr="Wasps">
          <a:extLst>
            <a:ext uri="{FF2B5EF4-FFF2-40B4-BE49-F238E27FC236}">
              <a16:creationId xmlns:a16="http://schemas.microsoft.com/office/drawing/2014/main" id="{049B164D-7C3B-4220-B567-3B0331FDB91B}"/>
            </a:ext>
          </a:extLst>
        </xdr:cNvPr>
        <xdr:cNvSpPr>
          <a:spLocks noChangeAspect="1" noChangeArrowheads="1"/>
        </xdr:cNvSpPr>
      </xdr:nvSpPr>
      <xdr:spPr bwMode="auto">
        <a:xfrm>
          <a:off x="7228936" y="588321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304800" cy="302284"/>
    <xdr:sp macro="" textlink="">
      <xdr:nvSpPr>
        <xdr:cNvPr id="188" name="AutoShape 10" descr="Wasps">
          <a:extLst>
            <a:ext uri="{FF2B5EF4-FFF2-40B4-BE49-F238E27FC236}">
              <a16:creationId xmlns:a16="http://schemas.microsoft.com/office/drawing/2014/main" id="{3DE3CC72-5D4A-43FF-B77D-8B55028728FA}"/>
            </a:ext>
          </a:extLst>
        </xdr:cNvPr>
        <xdr:cNvSpPr>
          <a:spLocks noChangeAspect="1" noChangeArrowheads="1"/>
        </xdr:cNvSpPr>
      </xdr:nvSpPr>
      <xdr:spPr bwMode="auto">
        <a:xfrm>
          <a:off x="7228936" y="588321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304800" cy="302284"/>
    <xdr:sp macro="" textlink="">
      <xdr:nvSpPr>
        <xdr:cNvPr id="189" name="AutoShape 10" descr="Wasps">
          <a:extLst>
            <a:ext uri="{FF2B5EF4-FFF2-40B4-BE49-F238E27FC236}">
              <a16:creationId xmlns:a16="http://schemas.microsoft.com/office/drawing/2014/main" id="{46CBAB50-27CA-4418-B5E5-5447063D9BA7}"/>
            </a:ext>
          </a:extLst>
        </xdr:cNvPr>
        <xdr:cNvSpPr>
          <a:spLocks noChangeAspect="1" noChangeArrowheads="1"/>
        </xdr:cNvSpPr>
      </xdr:nvSpPr>
      <xdr:spPr bwMode="auto">
        <a:xfrm>
          <a:off x="7228936" y="607299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304800" cy="302284"/>
    <xdr:sp macro="" textlink="">
      <xdr:nvSpPr>
        <xdr:cNvPr id="190" name="AutoShape 10" descr="Wasps">
          <a:extLst>
            <a:ext uri="{FF2B5EF4-FFF2-40B4-BE49-F238E27FC236}">
              <a16:creationId xmlns:a16="http://schemas.microsoft.com/office/drawing/2014/main" id="{0C513C94-103E-40D4-B283-75E092F75794}"/>
            </a:ext>
          </a:extLst>
        </xdr:cNvPr>
        <xdr:cNvSpPr>
          <a:spLocks noChangeAspect="1" noChangeArrowheads="1"/>
        </xdr:cNvSpPr>
      </xdr:nvSpPr>
      <xdr:spPr bwMode="auto">
        <a:xfrm>
          <a:off x="7228936" y="607299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304800" cy="302284"/>
    <xdr:sp macro="" textlink="">
      <xdr:nvSpPr>
        <xdr:cNvPr id="191" name="AutoShape 10" descr="Wasps">
          <a:extLst>
            <a:ext uri="{FF2B5EF4-FFF2-40B4-BE49-F238E27FC236}">
              <a16:creationId xmlns:a16="http://schemas.microsoft.com/office/drawing/2014/main" id="{8C816D89-6606-4CA3-B1B8-4886F904B62E}"/>
            </a:ext>
          </a:extLst>
        </xdr:cNvPr>
        <xdr:cNvSpPr>
          <a:spLocks noChangeAspect="1" noChangeArrowheads="1"/>
        </xdr:cNvSpPr>
      </xdr:nvSpPr>
      <xdr:spPr bwMode="auto">
        <a:xfrm>
          <a:off x="7228936" y="626277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304800" cy="302284"/>
    <xdr:sp macro="" textlink="">
      <xdr:nvSpPr>
        <xdr:cNvPr id="192" name="AutoShape 10" descr="Wasps">
          <a:extLst>
            <a:ext uri="{FF2B5EF4-FFF2-40B4-BE49-F238E27FC236}">
              <a16:creationId xmlns:a16="http://schemas.microsoft.com/office/drawing/2014/main" id="{BF279232-1BD6-4238-9324-6E9D29D885F3}"/>
            </a:ext>
          </a:extLst>
        </xdr:cNvPr>
        <xdr:cNvSpPr>
          <a:spLocks noChangeAspect="1" noChangeArrowheads="1"/>
        </xdr:cNvSpPr>
      </xdr:nvSpPr>
      <xdr:spPr bwMode="auto">
        <a:xfrm>
          <a:off x="7228936" y="626277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53</xdr:row>
      <xdr:rowOff>0</xdr:rowOff>
    </xdr:from>
    <xdr:ext cx="304800" cy="302284"/>
    <xdr:sp macro="" textlink="">
      <xdr:nvSpPr>
        <xdr:cNvPr id="193" name="AutoShape 10" descr="Wasps">
          <a:extLst>
            <a:ext uri="{FF2B5EF4-FFF2-40B4-BE49-F238E27FC236}">
              <a16:creationId xmlns:a16="http://schemas.microsoft.com/office/drawing/2014/main" id="{D65CE5B7-0E01-4377-8EA1-BC553740408B}"/>
            </a:ext>
          </a:extLst>
        </xdr:cNvPr>
        <xdr:cNvSpPr>
          <a:spLocks noChangeAspect="1" noChangeArrowheads="1"/>
        </xdr:cNvSpPr>
      </xdr:nvSpPr>
      <xdr:spPr bwMode="auto">
        <a:xfrm>
          <a:off x="7228936" y="645255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304800" cy="302284"/>
    <xdr:sp macro="" textlink="">
      <xdr:nvSpPr>
        <xdr:cNvPr id="194" name="AutoShape 1" descr="Bristol Bears">
          <a:extLst>
            <a:ext uri="{FF2B5EF4-FFF2-40B4-BE49-F238E27FC236}">
              <a16:creationId xmlns:a16="http://schemas.microsoft.com/office/drawing/2014/main" id="{3E7AA85A-63F0-469D-A158-26EAEE5EEA6A}"/>
            </a:ext>
          </a:extLst>
        </xdr:cNvPr>
        <xdr:cNvSpPr>
          <a:spLocks noChangeAspect="1" noChangeArrowheads="1"/>
        </xdr:cNvSpPr>
      </xdr:nvSpPr>
      <xdr:spPr bwMode="auto">
        <a:xfrm>
          <a:off x="7228936" y="398540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41</xdr:row>
      <xdr:rowOff>112143</xdr:rowOff>
    </xdr:from>
    <xdr:ext cx="304800" cy="302284"/>
    <xdr:sp macro="" textlink="">
      <xdr:nvSpPr>
        <xdr:cNvPr id="195" name="AutoShape 2" descr="Exeter Chiefs">
          <a:extLst>
            <a:ext uri="{FF2B5EF4-FFF2-40B4-BE49-F238E27FC236}">
              <a16:creationId xmlns:a16="http://schemas.microsoft.com/office/drawing/2014/main" id="{8605F517-F9EA-4277-8E33-35ACB7141C36}"/>
            </a:ext>
          </a:extLst>
        </xdr:cNvPr>
        <xdr:cNvSpPr>
          <a:spLocks noChangeAspect="1" noChangeArrowheads="1"/>
        </xdr:cNvSpPr>
      </xdr:nvSpPr>
      <xdr:spPr bwMode="auto">
        <a:xfrm>
          <a:off x="7228936" y="428732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42</xdr:row>
      <xdr:rowOff>0</xdr:rowOff>
    </xdr:from>
    <xdr:ext cx="304800" cy="302284"/>
    <xdr:sp macro="" textlink="">
      <xdr:nvSpPr>
        <xdr:cNvPr id="196" name="AutoShape 3" descr="Harlequins">
          <a:extLst>
            <a:ext uri="{FF2B5EF4-FFF2-40B4-BE49-F238E27FC236}">
              <a16:creationId xmlns:a16="http://schemas.microsoft.com/office/drawing/2014/main" id="{B6892B4C-CF38-4C16-BDCC-BD9694624DCC}"/>
            </a:ext>
          </a:extLst>
        </xdr:cNvPr>
        <xdr:cNvSpPr>
          <a:spLocks noChangeAspect="1" noChangeArrowheads="1"/>
        </xdr:cNvSpPr>
      </xdr:nvSpPr>
      <xdr:spPr bwMode="auto">
        <a:xfrm>
          <a:off x="7228936" y="436496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43</xdr:row>
      <xdr:rowOff>0</xdr:rowOff>
    </xdr:from>
    <xdr:ext cx="304800" cy="302284"/>
    <xdr:sp macro="" textlink="">
      <xdr:nvSpPr>
        <xdr:cNvPr id="197" name="AutoShape 4" descr="Sale Sharks">
          <a:extLst>
            <a:ext uri="{FF2B5EF4-FFF2-40B4-BE49-F238E27FC236}">
              <a16:creationId xmlns:a16="http://schemas.microsoft.com/office/drawing/2014/main" id="{4B6F9F33-5D41-4F47-91E3-99C74F57534A}"/>
            </a:ext>
          </a:extLst>
        </xdr:cNvPr>
        <xdr:cNvSpPr>
          <a:spLocks noChangeAspect="1" noChangeArrowheads="1"/>
        </xdr:cNvSpPr>
      </xdr:nvSpPr>
      <xdr:spPr bwMode="auto">
        <a:xfrm>
          <a:off x="7228936" y="455474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304800" cy="302284"/>
    <xdr:sp macro="" textlink="">
      <xdr:nvSpPr>
        <xdr:cNvPr id="198" name="AutoShape 5" descr="Northampton Saints">
          <a:extLst>
            <a:ext uri="{FF2B5EF4-FFF2-40B4-BE49-F238E27FC236}">
              <a16:creationId xmlns:a16="http://schemas.microsoft.com/office/drawing/2014/main" id="{A91B1C09-4B8E-4DFC-99C5-61E17AF9BF2E}"/>
            </a:ext>
          </a:extLst>
        </xdr:cNvPr>
        <xdr:cNvSpPr>
          <a:spLocks noChangeAspect="1" noChangeArrowheads="1"/>
        </xdr:cNvSpPr>
      </xdr:nvSpPr>
      <xdr:spPr bwMode="auto">
        <a:xfrm>
          <a:off x="7228936" y="588321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304800" cy="302284"/>
    <xdr:sp macro="" textlink="">
      <xdr:nvSpPr>
        <xdr:cNvPr id="199" name="AutoShape 6" descr="London Irish">
          <a:extLst>
            <a:ext uri="{FF2B5EF4-FFF2-40B4-BE49-F238E27FC236}">
              <a16:creationId xmlns:a16="http://schemas.microsoft.com/office/drawing/2014/main" id="{B004526D-9555-47F8-BD7A-2F003C33E697}"/>
            </a:ext>
          </a:extLst>
        </xdr:cNvPr>
        <xdr:cNvSpPr>
          <a:spLocks noChangeAspect="1" noChangeArrowheads="1"/>
        </xdr:cNvSpPr>
      </xdr:nvSpPr>
      <xdr:spPr bwMode="auto">
        <a:xfrm>
          <a:off x="7228936" y="607299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304800" cy="302284"/>
    <xdr:sp macro="" textlink="">
      <xdr:nvSpPr>
        <xdr:cNvPr id="200" name="AutoShape 7" descr="Leicester Tigers">
          <a:extLst>
            <a:ext uri="{FF2B5EF4-FFF2-40B4-BE49-F238E27FC236}">
              <a16:creationId xmlns:a16="http://schemas.microsoft.com/office/drawing/2014/main" id="{E19E5F28-56B6-4960-A643-4D0D1C94C7B5}"/>
            </a:ext>
          </a:extLst>
        </xdr:cNvPr>
        <xdr:cNvSpPr>
          <a:spLocks noChangeAspect="1" noChangeArrowheads="1"/>
        </xdr:cNvSpPr>
      </xdr:nvSpPr>
      <xdr:spPr bwMode="auto">
        <a:xfrm>
          <a:off x="7228936" y="626277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53</xdr:row>
      <xdr:rowOff>0</xdr:rowOff>
    </xdr:from>
    <xdr:ext cx="304800" cy="302284"/>
    <xdr:sp macro="" textlink="">
      <xdr:nvSpPr>
        <xdr:cNvPr id="201" name="AutoShape 8" descr="Newcastle Falcons">
          <a:extLst>
            <a:ext uri="{FF2B5EF4-FFF2-40B4-BE49-F238E27FC236}">
              <a16:creationId xmlns:a16="http://schemas.microsoft.com/office/drawing/2014/main" id="{4B8C9C1E-9B3D-42E7-AEBE-AA7C5CD80930}"/>
            </a:ext>
          </a:extLst>
        </xdr:cNvPr>
        <xdr:cNvSpPr>
          <a:spLocks noChangeAspect="1" noChangeArrowheads="1"/>
        </xdr:cNvSpPr>
      </xdr:nvSpPr>
      <xdr:spPr bwMode="auto">
        <a:xfrm>
          <a:off x="7228936" y="645255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609600</xdr:colOff>
      <xdr:row>43</xdr:row>
      <xdr:rowOff>0</xdr:rowOff>
    </xdr:from>
    <xdr:ext cx="298150" cy="302284"/>
    <xdr:sp macro="" textlink="">
      <xdr:nvSpPr>
        <xdr:cNvPr id="202" name="AutoShape 9" descr="Bath Rugby">
          <a:extLst>
            <a:ext uri="{FF2B5EF4-FFF2-40B4-BE49-F238E27FC236}">
              <a16:creationId xmlns:a16="http://schemas.microsoft.com/office/drawing/2014/main" id="{C46B17BE-A65C-4C4E-9A63-D2167FEC6D77}"/>
            </a:ext>
          </a:extLst>
        </xdr:cNvPr>
        <xdr:cNvSpPr>
          <a:spLocks noChangeAspect="1" noChangeArrowheads="1"/>
        </xdr:cNvSpPr>
      </xdr:nvSpPr>
      <xdr:spPr bwMode="auto">
        <a:xfrm>
          <a:off x="7226061" y="4744528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304800" cy="310911"/>
    <xdr:sp macro="" textlink="">
      <xdr:nvSpPr>
        <xdr:cNvPr id="203" name="AutoShape 1" descr="Bristol Bears">
          <a:extLst>
            <a:ext uri="{FF2B5EF4-FFF2-40B4-BE49-F238E27FC236}">
              <a16:creationId xmlns:a16="http://schemas.microsoft.com/office/drawing/2014/main" id="{86DECB7A-375D-4236-8815-2E5E034F28C3}"/>
            </a:ext>
          </a:extLst>
        </xdr:cNvPr>
        <xdr:cNvSpPr>
          <a:spLocks noChangeAspect="1" noChangeArrowheads="1"/>
        </xdr:cNvSpPr>
      </xdr:nvSpPr>
      <xdr:spPr bwMode="auto">
        <a:xfrm>
          <a:off x="7228936" y="3985404"/>
          <a:ext cx="304800" cy="310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51758</xdr:colOff>
      <xdr:row>50</xdr:row>
      <xdr:rowOff>51758</xdr:rowOff>
    </xdr:from>
    <xdr:ext cx="304800" cy="310910"/>
    <xdr:sp macro="" textlink="">
      <xdr:nvSpPr>
        <xdr:cNvPr id="204" name="AutoShape 2" descr="Exeter Chiefs">
          <a:extLst>
            <a:ext uri="{FF2B5EF4-FFF2-40B4-BE49-F238E27FC236}">
              <a16:creationId xmlns:a16="http://schemas.microsoft.com/office/drawing/2014/main" id="{1EDBD8B8-554C-4B5B-BBDD-7A6C53773F00}"/>
            </a:ext>
          </a:extLst>
        </xdr:cNvPr>
        <xdr:cNvSpPr>
          <a:spLocks noChangeAspect="1" noChangeArrowheads="1"/>
        </xdr:cNvSpPr>
      </xdr:nvSpPr>
      <xdr:spPr bwMode="auto">
        <a:xfrm>
          <a:off x="7280694" y="5934973"/>
          <a:ext cx="304800" cy="310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42</xdr:row>
      <xdr:rowOff>0</xdr:rowOff>
    </xdr:from>
    <xdr:ext cx="304800" cy="492065"/>
    <xdr:sp macro="" textlink="">
      <xdr:nvSpPr>
        <xdr:cNvPr id="205" name="AutoShape 3" descr="Harlequins">
          <a:extLst>
            <a:ext uri="{FF2B5EF4-FFF2-40B4-BE49-F238E27FC236}">
              <a16:creationId xmlns:a16="http://schemas.microsoft.com/office/drawing/2014/main" id="{D7D2A5B6-E7C4-4697-AD30-2B01BF05707F}"/>
            </a:ext>
          </a:extLst>
        </xdr:cNvPr>
        <xdr:cNvSpPr>
          <a:spLocks noChangeAspect="1" noChangeArrowheads="1"/>
        </xdr:cNvSpPr>
      </xdr:nvSpPr>
      <xdr:spPr bwMode="auto">
        <a:xfrm>
          <a:off x="7228936" y="4364966"/>
          <a:ext cx="304800" cy="492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43</xdr:row>
      <xdr:rowOff>0</xdr:rowOff>
    </xdr:from>
    <xdr:ext cx="304800" cy="310911"/>
    <xdr:sp macro="" textlink="">
      <xdr:nvSpPr>
        <xdr:cNvPr id="206" name="AutoShape 4" descr="Sale Sharks">
          <a:extLst>
            <a:ext uri="{FF2B5EF4-FFF2-40B4-BE49-F238E27FC236}">
              <a16:creationId xmlns:a16="http://schemas.microsoft.com/office/drawing/2014/main" id="{8FE22FC0-62DB-41EA-82C8-980710F59C15}"/>
            </a:ext>
          </a:extLst>
        </xdr:cNvPr>
        <xdr:cNvSpPr>
          <a:spLocks noChangeAspect="1" noChangeArrowheads="1"/>
        </xdr:cNvSpPr>
      </xdr:nvSpPr>
      <xdr:spPr bwMode="auto">
        <a:xfrm>
          <a:off x="7228936" y="4554747"/>
          <a:ext cx="304800" cy="310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304800" cy="492065"/>
    <xdr:sp macro="" textlink="">
      <xdr:nvSpPr>
        <xdr:cNvPr id="207" name="AutoShape 5" descr="Northampton Saints">
          <a:extLst>
            <a:ext uri="{FF2B5EF4-FFF2-40B4-BE49-F238E27FC236}">
              <a16:creationId xmlns:a16="http://schemas.microsoft.com/office/drawing/2014/main" id="{1C9A7BCA-C4E9-4212-8B44-5B4E4AAC69F0}"/>
            </a:ext>
          </a:extLst>
        </xdr:cNvPr>
        <xdr:cNvSpPr>
          <a:spLocks noChangeAspect="1" noChangeArrowheads="1"/>
        </xdr:cNvSpPr>
      </xdr:nvSpPr>
      <xdr:spPr bwMode="auto">
        <a:xfrm>
          <a:off x="7228936" y="5883215"/>
          <a:ext cx="304800" cy="492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304800" cy="492064"/>
    <xdr:sp macro="" textlink="">
      <xdr:nvSpPr>
        <xdr:cNvPr id="208" name="AutoShape 6" descr="London Irish">
          <a:extLst>
            <a:ext uri="{FF2B5EF4-FFF2-40B4-BE49-F238E27FC236}">
              <a16:creationId xmlns:a16="http://schemas.microsoft.com/office/drawing/2014/main" id="{2A3E539B-FC7F-4F8D-B6E0-33173661AA18}"/>
            </a:ext>
          </a:extLst>
        </xdr:cNvPr>
        <xdr:cNvSpPr>
          <a:spLocks noChangeAspect="1" noChangeArrowheads="1"/>
        </xdr:cNvSpPr>
      </xdr:nvSpPr>
      <xdr:spPr bwMode="auto">
        <a:xfrm>
          <a:off x="7228936" y="6072996"/>
          <a:ext cx="304800" cy="492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304800" cy="492066"/>
    <xdr:sp macro="" textlink="">
      <xdr:nvSpPr>
        <xdr:cNvPr id="209" name="AutoShape 7" descr="Leicester Tigers">
          <a:extLst>
            <a:ext uri="{FF2B5EF4-FFF2-40B4-BE49-F238E27FC236}">
              <a16:creationId xmlns:a16="http://schemas.microsoft.com/office/drawing/2014/main" id="{2AAAD806-3757-412C-94B7-CB48BC41D643}"/>
            </a:ext>
          </a:extLst>
        </xdr:cNvPr>
        <xdr:cNvSpPr>
          <a:spLocks noChangeAspect="1" noChangeArrowheads="1"/>
        </xdr:cNvSpPr>
      </xdr:nvSpPr>
      <xdr:spPr bwMode="auto">
        <a:xfrm>
          <a:off x="7228936" y="6262777"/>
          <a:ext cx="304800" cy="4920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53</xdr:row>
      <xdr:rowOff>0</xdr:rowOff>
    </xdr:from>
    <xdr:ext cx="304800" cy="492065"/>
    <xdr:sp macro="" textlink="">
      <xdr:nvSpPr>
        <xdr:cNvPr id="210" name="AutoShape 8" descr="Newcastle Falcons">
          <a:extLst>
            <a:ext uri="{FF2B5EF4-FFF2-40B4-BE49-F238E27FC236}">
              <a16:creationId xmlns:a16="http://schemas.microsoft.com/office/drawing/2014/main" id="{7103F184-526D-4EC6-A3D5-0E16CC3647EB}"/>
            </a:ext>
          </a:extLst>
        </xdr:cNvPr>
        <xdr:cNvSpPr>
          <a:spLocks noChangeAspect="1" noChangeArrowheads="1"/>
        </xdr:cNvSpPr>
      </xdr:nvSpPr>
      <xdr:spPr bwMode="auto">
        <a:xfrm>
          <a:off x="7228936" y="6452558"/>
          <a:ext cx="304800" cy="492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609600</xdr:colOff>
      <xdr:row>53</xdr:row>
      <xdr:rowOff>19050</xdr:rowOff>
    </xdr:from>
    <xdr:ext cx="298150" cy="310910"/>
    <xdr:sp macro="" textlink="">
      <xdr:nvSpPr>
        <xdr:cNvPr id="211" name="AutoShape 9" descr="Bath Rugby">
          <a:extLst>
            <a:ext uri="{FF2B5EF4-FFF2-40B4-BE49-F238E27FC236}">
              <a16:creationId xmlns:a16="http://schemas.microsoft.com/office/drawing/2014/main" id="{F822BEA2-275C-48C3-93BD-BB2AA857985F}"/>
            </a:ext>
          </a:extLst>
        </xdr:cNvPr>
        <xdr:cNvSpPr>
          <a:spLocks noChangeAspect="1" noChangeArrowheads="1"/>
        </xdr:cNvSpPr>
      </xdr:nvSpPr>
      <xdr:spPr bwMode="auto">
        <a:xfrm>
          <a:off x="7226061" y="6661390"/>
          <a:ext cx="298150" cy="310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60385</xdr:colOff>
      <xdr:row>4</xdr:row>
      <xdr:rowOff>17252</xdr:rowOff>
    </xdr:from>
    <xdr:ext cx="304800" cy="310911"/>
    <xdr:sp macro="" textlink="">
      <xdr:nvSpPr>
        <xdr:cNvPr id="212" name="AutoShape 1" descr="Bristol Bears">
          <a:extLst>
            <a:ext uri="{FF2B5EF4-FFF2-40B4-BE49-F238E27FC236}">
              <a16:creationId xmlns:a16="http://schemas.microsoft.com/office/drawing/2014/main" id="{4F265D28-E6DE-48B9-A1FF-D4877F7D4D65}"/>
            </a:ext>
          </a:extLst>
        </xdr:cNvPr>
        <xdr:cNvSpPr>
          <a:spLocks noChangeAspect="1" noChangeArrowheads="1"/>
        </xdr:cNvSpPr>
      </xdr:nvSpPr>
      <xdr:spPr bwMode="auto">
        <a:xfrm>
          <a:off x="14587268" y="776377"/>
          <a:ext cx="304800" cy="310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34505</xdr:colOff>
      <xdr:row>9</xdr:row>
      <xdr:rowOff>17252</xdr:rowOff>
    </xdr:from>
    <xdr:ext cx="304800" cy="310910"/>
    <xdr:sp macro="" textlink="">
      <xdr:nvSpPr>
        <xdr:cNvPr id="213" name="AutoShape 2" descr="Exeter Chiefs">
          <a:extLst>
            <a:ext uri="{FF2B5EF4-FFF2-40B4-BE49-F238E27FC236}">
              <a16:creationId xmlns:a16="http://schemas.microsoft.com/office/drawing/2014/main" id="{3ADD3F09-3A16-432B-826D-D78137EE256B}"/>
            </a:ext>
          </a:extLst>
        </xdr:cNvPr>
        <xdr:cNvSpPr>
          <a:spLocks noChangeAspect="1" noChangeArrowheads="1"/>
        </xdr:cNvSpPr>
      </xdr:nvSpPr>
      <xdr:spPr bwMode="auto">
        <a:xfrm>
          <a:off x="6996022" y="1535501"/>
          <a:ext cx="304800" cy="310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492065"/>
    <xdr:sp macro="" textlink="">
      <xdr:nvSpPr>
        <xdr:cNvPr id="214" name="AutoShape 3" descr="Harlequins">
          <a:extLst>
            <a:ext uri="{FF2B5EF4-FFF2-40B4-BE49-F238E27FC236}">
              <a16:creationId xmlns:a16="http://schemas.microsoft.com/office/drawing/2014/main" id="{7A17FF8C-6687-4625-BFE9-3EF414A054E2}"/>
            </a:ext>
          </a:extLst>
        </xdr:cNvPr>
        <xdr:cNvSpPr>
          <a:spLocks noChangeAspect="1" noChangeArrowheads="1"/>
        </xdr:cNvSpPr>
      </xdr:nvSpPr>
      <xdr:spPr bwMode="auto">
        <a:xfrm>
          <a:off x="6961517" y="759125"/>
          <a:ext cx="304800" cy="492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10911"/>
    <xdr:sp macro="" textlink="">
      <xdr:nvSpPr>
        <xdr:cNvPr id="215" name="AutoShape 4" descr="Sale Sharks">
          <a:extLst>
            <a:ext uri="{FF2B5EF4-FFF2-40B4-BE49-F238E27FC236}">
              <a16:creationId xmlns:a16="http://schemas.microsoft.com/office/drawing/2014/main" id="{C51D654D-DAD0-425C-B381-5DB0F4BFFD57}"/>
            </a:ext>
          </a:extLst>
        </xdr:cNvPr>
        <xdr:cNvSpPr>
          <a:spLocks noChangeAspect="1" noChangeArrowheads="1"/>
        </xdr:cNvSpPr>
      </xdr:nvSpPr>
      <xdr:spPr bwMode="auto">
        <a:xfrm>
          <a:off x="6961517" y="948906"/>
          <a:ext cx="304800" cy="310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13</xdr:row>
      <xdr:rowOff>0</xdr:rowOff>
    </xdr:from>
    <xdr:ext cx="304800" cy="492065"/>
    <xdr:sp macro="" textlink="">
      <xdr:nvSpPr>
        <xdr:cNvPr id="216" name="AutoShape 5" descr="Northampton Saints">
          <a:extLst>
            <a:ext uri="{FF2B5EF4-FFF2-40B4-BE49-F238E27FC236}">
              <a16:creationId xmlns:a16="http://schemas.microsoft.com/office/drawing/2014/main" id="{71D1154B-C292-4504-96C1-4A9009671721}"/>
            </a:ext>
          </a:extLst>
        </xdr:cNvPr>
        <xdr:cNvSpPr>
          <a:spLocks noChangeAspect="1" noChangeArrowheads="1"/>
        </xdr:cNvSpPr>
      </xdr:nvSpPr>
      <xdr:spPr bwMode="auto">
        <a:xfrm>
          <a:off x="6961517" y="2277374"/>
          <a:ext cx="304800" cy="492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14</xdr:row>
      <xdr:rowOff>0</xdr:rowOff>
    </xdr:from>
    <xdr:ext cx="304800" cy="492064"/>
    <xdr:sp macro="" textlink="">
      <xdr:nvSpPr>
        <xdr:cNvPr id="217" name="AutoShape 6" descr="London Irish">
          <a:extLst>
            <a:ext uri="{FF2B5EF4-FFF2-40B4-BE49-F238E27FC236}">
              <a16:creationId xmlns:a16="http://schemas.microsoft.com/office/drawing/2014/main" id="{788F301B-B589-490C-8A06-01D4C89887D5}"/>
            </a:ext>
          </a:extLst>
        </xdr:cNvPr>
        <xdr:cNvSpPr>
          <a:spLocks noChangeAspect="1" noChangeArrowheads="1"/>
        </xdr:cNvSpPr>
      </xdr:nvSpPr>
      <xdr:spPr bwMode="auto">
        <a:xfrm>
          <a:off x="6961517" y="2467155"/>
          <a:ext cx="304800" cy="492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15</xdr:row>
      <xdr:rowOff>0</xdr:rowOff>
    </xdr:from>
    <xdr:ext cx="304800" cy="492066"/>
    <xdr:sp macro="" textlink="">
      <xdr:nvSpPr>
        <xdr:cNvPr id="218" name="AutoShape 7" descr="Leicester Tigers">
          <a:extLst>
            <a:ext uri="{FF2B5EF4-FFF2-40B4-BE49-F238E27FC236}">
              <a16:creationId xmlns:a16="http://schemas.microsoft.com/office/drawing/2014/main" id="{EFDBDA20-226C-489D-9D28-0AAF7FCE0C6E}"/>
            </a:ext>
          </a:extLst>
        </xdr:cNvPr>
        <xdr:cNvSpPr>
          <a:spLocks noChangeAspect="1" noChangeArrowheads="1"/>
        </xdr:cNvSpPr>
      </xdr:nvSpPr>
      <xdr:spPr bwMode="auto">
        <a:xfrm>
          <a:off x="6961517" y="2656936"/>
          <a:ext cx="304800" cy="4920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16</xdr:row>
      <xdr:rowOff>0</xdr:rowOff>
    </xdr:from>
    <xdr:ext cx="304800" cy="492065"/>
    <xdr:sp macro="" textlink="">
      <xdr:nvSpPr>
        <xdr:cNvPr id="219" name="AutoShape 8" descr="Newcastle Falcons">
          <a:extLst>
            <a:ext uri="{FF2B5EF4-FFF2-40B4-BE49-F238E27FC236}">
              <a16:creationId xmlns:a16="http://schemas.microsoft.com/office/drawing/2014/main" id="{78EB30D9-9C85-46F9-898F-7ACC5C1BCC44}"/>
            </a:ext>
          </a:extLst>
        </xdr:cNvPr>
        <xdr:cNvSpPr>
          <a:spLocks noChangeAspect="1" noChangeArrowheads="1"/>
        </xdr:cNvSpPr>
      </xdr:nvSpPr>
      <xdr:spPr bwMode="auto">
        <a:xfrm>
          <a:off x="6961517" y="2846717"/>
          <a:ext cx="304800" cy="492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609600</xdr:colOff>
      <xdr:row>17</xdr:row>
      <xdr:rowOff>19050</xdr:rowOff>
    </xdr:from>
    <xdr:ext cx="298150" cy="310910"/>
    <xdr:sp macro="" textlink="">
      <xdr:nvSpPr>
        <xdr:cNvPr id="220" name="AutoShape 9" descr="Bath Rugby">
          <a:extLst>
            <a:ext uri="{FF2B5EF4-FFF2-40B4-BE49-F238E27FC236}">
              <a16:creationId xmlns:a16="http://schemas.microsoft.com/office/drawing/2014/main" id="{0D9F5365-9CB5-4D38-A286-8C2AACA2535A}"/>
            </a:ext>
          </a:extLst>
        </xdr:cNvPr>
        <xdr:cNvSpPr>
          <a:spLocks noChangeAspect="1" noChangeArrowheads="1"/>
        </xdr:cNvSpPr>
      </xdr:nvSpPr>
      <xdr:spPr bwMode="auto">
        <a:xfrm>
          <a:off x="6958642" y="3055548"/>
          <a:ext cx="298150" cy="310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23</xdr:row>
      <xdr:rowOff>0</xdr:rowOff>
    </xdr:from>
    <xdr:ext cx="304800" cy="303003"/>
    <xdr:sp macro="" textlink="">
      <xdr:nvSpPr>
        <xdr:cNvPr id="221" name="AutoShape 1" descr="Bristol Bears">
          <a:extLst>
            <a:ext uri="{FF2B5EF4-FFF2-40B4-BE49-F238E27FC236}">
              <a16:creationId xmlns:a16="http://schemas.microsoft.com/office/drawing/2014/main" id="{511CA210-8047-40F8-B5E5-C48348CBDE0B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569343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24</xdr:row>
      <xdr:rowOff>0</xdr:rowOff>
    </xdr:from>
    <xdr:ext cx="304800" cy="303002"/>
    <xdr:sp macro="" textlink="">
      <xdr:nvSpPr>
        <xdr:cNvPr id="222" name="AutoShape 2" descr="Exeter Chiefs">
          <a:extLst>
            <a:ext uri="{FF2B5EF4-FFF2-40B4-BE49-F238E27FC236}">
              <a16:creationId xmlns:a16="http://schemas.microsoft.com/office/drawing/2014/main" id="{E0C38BDB-9476-4EC7-B784-EAF7C7E2451D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759125"/>
          <a:ext cx="304800" cy="303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25</xdr:row>
      <xdr:rowOff>0</xdr:rowOff>
    </xdr:from>
    <xdr:ext cx="304800" cy="303003"/>
    <xdr:sp macro="" textlink="">
      <xdr:nvSpPr>
        <xdr:cNvPr id="223" name="AutoShape 3" descr="Harlequins">
          <a:extLst>
            <a:ext uri="{FF2B5EF4-FFF2-40B4-BE49-F238E27FC236}">
              <a16:creationId xmlns:a16="http://schemas.microsoft.com/office/drawing/2014/main" id="{2FC9DD4B-C22C-4046-B5D1-5E2EFEFA452F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948906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26</xdr:row>
      <xdr:rowOff>0</xdr:rowOff>
    </xdr:from>
    <xdr:ext cx="304800" cy="303003"/>
    <xdr:sp macro="" textlink="">
      <xdr:nvSpPr>
        <xdr:cNvPr id="224" name="AutoShape 4" descr="Sale Sharks">
          <a:extLst>
            <a:ext uri="{FF2B5EF4-FFF2-40B4-BE49-F238E27FC236}">
              <a16:creationId xmlns:a16="http://schemas.microsoft.com/office/drawing/2014/main" id="{8F310696-112C-4FB5-918E-7645B7C9F44B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1138687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33</xdr:row>
      <xdr:rowOff>0</xdr:rowOff>
    </xdr:from>
    <xdr:ext cx="304800" cy="303003"/>
    <xdr:sp macro="" textlink="">
      <xdr:nvSpPr>
        <xdr:cNvPr id="225" name="AutoShape 5" descr="Northampton Saints">
          <a:extLst>
            <a:ext uri="{FF2B5EF4-FFF2-40B4-BE49-F238E27FC236}">
              <a16:creationId xmlns:a16="http://schemas.microsoft.com/office/drawing/2014/main" id="{34AB7E9F-554D-47C1-8912-CDD83EE5BA56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2467155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34</xdr:row>
      <xdr:rowOff>0</xdr:rowOff>
    </xdr:from>
    <xdr:ext cx="304800" cy="303003"/>
    <xdr:sp macro="" textlink="">
      <xdr:nvSpPr>
        <xdr:cNvPr id="226" name="AutoShape 6" descr="London Irish">
          <a:extLst>
            <a:ext uri="{FF2B5EF4-FFF2-40B4-BE49-F238E27FC236}">
              <a16:creationId xmlns:a16="http://schemas.microsoft.com/office/drawing/2014/main" id="{1E6A54EB-76C4-4A65-B261-B0DC07B66891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2656936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35</xdr:row>
      <xdr:rowOff>0</xdr:rowOff>
    </xdr:from>
    <xdr:ext cx="304800" cy="303003"/>
    <xdr:sp macro="" textlink="">
      <xdr:nvSpPr>
        <xdr:cNvPr id="227" name="AutoShape 7" descr="Leicester Tigers">
          <a:extLst>
            <a:ext uri="{FF2B5EF4-FFF2-40B4-BE49-F238E27FC236}">
              <a16:creationId xmlns:a16="http://schemas.microsoft.com/office/drawing/2014/main" id="{84DB659A-F8C7-4A5B-8ECB-B517BFEE7291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2846717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36</xdr:row>
      <xdr:rowOff>0</xdr:rowOff>
    </xdr:from>
    <xdr:ext cx="304800" cy="303003"/>
    <xdr:sp macro="" textlink="">
      <xdr:nvSpPr>
        <xdr:cNvPr id="228" name="AutoShape 8" descr="Newcastle Falcons">
          <a:extLst>
            <a:ext uri="{FF2B5EF4-FFF2-40B4-BE49-F238E27FC236}">
              <a16:creationId xmlns:a16="http://schemas.microsoft.com/office/drawing/2014/main" id="{40C7A819-6726-4A7D-A2F6-19786AF75194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3036498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36</xdr:row>
      <xdr:rowOff>19050</xdr:rowOff>
    </xdr:from>
    <xdr:ext cx="295275" cy="303003"/>
    <xdr:sp macro="" textlink="">
      <xdr:nvSpPr>
        <xdr:cNvPr id="229" name="AutoShape 9" descr="Bath Rugby">
          <a:extLst>
            <a:ext uri="{FF2B5EF4-FFF2-40B4-BE49-F238E27FC236}">
              <a16:creationId xmlns:a16="http://schemas.microsoft.com/office/drawing/2014/main" id="{E2CA910B-E48E-4D5C-9FF2-BF00CE074025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3055548"/>
          <a:ext cx="295275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38</xdr:row>
      <xdr:rowOff>0</xdr:rowOff>
    </xdr:from>
    <xdr:ext cx="304800" cy="303002"/>
    <xdr:sp macro="" textlink="">
      <xdr:nvSpPr>
        <xdr:cNvPr id="230" name="AutoShape 10" descr="Wasps">
          <a:extLst>
            <a:ext uri="{FF2B5EF4-FFF2-40B4-BE49-F238E27FC236}">
              <a16:creationId xmlns:a16="http://schemas.microsoft.com/office/drawing/2014/main" id="{D98F0E2F-43D8-4705-A064-DC2497EB272F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3416060"/>
          <a:ext cx="304800" cy="303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23</xdr:row>
      <xdr:rowOff>0</xdr:rowOff>
    </xdr:from>
    <xdr:ext cx="304800" cy="302284"/>
    <xdr:sp macro="" textlink="">
      <xdr:nvSpPr>
        <xdr:cNvPr id="231" name="AutoShape 1" descr="Bristol Bears">
          <a:extLst>
            <a:ext uri="{FF2B5EF4-FFF2-40B4-BE49-F238E27FC236}">
              <a16:creationId xmlns:a16="http://schemas.microsoft.com/office/drawing/2014/main" id="{14DAD189-B241-4AFC-8D6B-B847C6C6B41C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56934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24</xdr:row>
      <xdr:rowOff>0</xdr:rowOff>
    </xdr:from>
    <xdr:ext cx="304800" cy="302284"/>
    <xdr:sp macro="" textlink="">
      <xdr:nvSpPr>
        <xdr:cNvPr id="232" name="AutoShape 2" descr="Exeter Chiefs">
          <a:extLst>
            <a:ext uri="{FF2B5EF4-FFF2-40B4-BE49-F238E27FC236}">
              <a16:creationId xmlns:a16="http://schemas.microsoft.com/office/drawing/2014/main" id="{D065C4E0-502E-40B0-A7B0-7D073E434944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75912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25</xdr:row>
      <xdr:rowOff>0</xdr:rowOff>
    </xdr:from>
    <xdr:ext cx="304800" cy="302284"/>
    <xdr:sp macro="" textlink="">
      <xdr:nvSpPr>
        <xdr:cNvPr id="233" name="AutoShape 3" descr="Harlequins">
          <a:extLst>
            <a:ext uri="{FF2B5EF4-FFF2-40B4-BE49-F238E27FC236}">
              <a16:creationId xmlns:a16="http://schemas.microsoft.com/office/drawing/2014/main" id="{3731AD9A-0C36-4BB8-B750-33F418393778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94890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26</xdr:row>
      <xdr:rowOff>0</xdr:rowOff>
    </xdr:from>
    <xdr:ext cx="304800" cy="302284"/>
    <xdr:sp macro="" textlink="">
      <xdr:nvSpPr>
        <xdr:cNvPr id="234" name="AutoShape 4" descr="Sale Sharks">
          <a:extLst>
            <a:ext uri="{FF2B5EF4-FFF2-40B4-BE49-F238E27FC236}">
              <a16:creationId xmlns:a16="http://schemas.microsoft.com/office/drawing/2014/main" id="{9281AE84-FAEC-4111-A860-1157A76EB5F3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113868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33</xdr:row>
      <xdr:rowOff>0</xdr:rowOff>
    </xdr:from>
    <xdr:ext cx="304800" cy="302284"/>
    <xdr:sp macro="" textlink="">
      <xdr:nvSpPr>
        <xdr:cNvPr id="235" name="AutoShape 5" descr="Northampton Saints">
          <a:extLst>
            <a:ext uri="{FF2B5EF4-FFF2-40B4-BE49-F238E27FC236}">
              <a16:creationId xmlns:a16="http://schemas.microsoft.com/office/drawing/2014/main" id="{E0002C11-7E7E-4C51-B9DE-B358BC8CB2A5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246715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34</xdr:row>
      <xdr:rowOff>0</xdr:rowOff>
    </xdr:from>
    <xdr:ext cx="304800" cy="302284"/>
    <xdr:sp macro="" textlink="">
      <xdr:nvSpPr>
        <xdr:cNvPr id="236" name="AutoShape 6" descr="London Irish">
          <a:extLst>
            <a:ext uri="{FF2B5EF4-FFF2-40B4-BE49-F238E27FC236}">
              <a16:creationId xmlns:a16="http://schemas.microsoft.com/office/drawing/2014/main" id="{403430AC-8DA8-4C32-A56A-B498388EF63A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265693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35</xdr:row>
      <xdr:rowOff>0</xdr:rowOff>
    </xdr:from>
    <xdr:ext cx="304800" cy="302284"/>
    <xdr:sp macro="" textlink="">
      <xdr:nvSpPr>
        <xdr:cNvPr id="237" name="AutoShape 7" descr="Leicester Tigers">
          <a:extLst>
            <a:ext uri="{FF2B5EF4-FFF2-40B4-BE49-F238E27FC236}">
              <a16:creationId xmlns:a16="http://schemas.microsoft.com/office/drawing/2014/main" id="{16E95767-38B7-4FA8-B19C-2C7628D3E40C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284671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36</xdr:row>
      <xdr:rowOff>0</xdr:rowOff>
    </xdr:from>
    <xdr:ext cx="304800" cy="302284"/>
    <xdr:sp macro="" textlink="">
      <xdr:nvSpPr>
        <xdr:cNvPr id="238" name="AutoShape 8" descr="Newcastle Falcons">
          <a:extLst>
            <a:ext uri="{FF2B5EF4-FFF2-40B4-BE49-F238E27FC236}">
              <a16:creationId xmlns:a16="http://schemas.microsoft.com/office/drawing/2014/main" id="{276EEC89-CD89-4F83-BC22-9A86E9265B5A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303649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609600</xdr:colOff>
      <xdr:row>31</xdr:row>
      <xdr:rowOff>19050</xdr:rowOff>
    </xdr:from>
    <xdr:ext cx="298150" cy="302284"/>
    <xdr:sp macro="" textlink="">
      <xdr:nvSpPr>
        <xdr:cNvPr id="239" name="AutoShape 9" descr="Bath Rugby">
          <a:extLst>
            <a:ext uri="{FF2B5EF4-FFF2-40B4-BE49-F238E27FC236}">
              <a16:creationId xmlns:a16="http://schemas.microsoft.com/office/drawing/2014/main" id="{4859DE29-3E1D-4B54-A5A0-C6A5F0B6CAA2}"/>
            </a:ext>
          </a:extLst>
        </xdr:cNvPr>
        <xdr:cNvSpPr>
          <a:spLocks noChangeAspect="1" noChangeArrowheads="1"/>
        </xdr:cNvSpPr>
      </xdr:nvSpPr>
      <xdr:spPr bwMode="auto">
        <a:xfrm>
          <a:off x="14524008" y="2106642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51759</xdr:colOff>
      <xdr:row>37</xdr:row>
      <xdr:rowOff>181156</xdr:rowOff>
    </xdr:from>
    <xdr:ext cx="304800" cy="302284"/>
    <xdr:sp macro="" textlink="">
      <xdr:nvSpPr>
        <xdr:cNvPr id="240" name="AutoShape 10" descr="Wasps">
          <a:extLst>
            <a:ext uri="{FF2B5EF4-FFF2-40B4-BE49-F238E27FC236}">
              <a16:creationId xmlns:a16="http://schemas.microsoft.com/office/drawing/2014/main" id="{7A992EB9-1E24-4753-9343-188E2A1997DA}"/>
            </a:ext>
          </a:extLst>
        </xdr:cNvPr>
        <xdr:cNvSpPr>
          <a:spLocks noChangeAspect="1" noChangeArrowheads="1"/>
        </xdr:cNvSpPr>
      </xdr:nvSpPr>
      <xdr:spPr bwMode="auto">
        <a:xfrm>
          <a:off x="14578642" y="340743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23</xdr:row>
      <xdr:rowOff>0</xdr:rowOff>
    </xdr:from>
    <xdr:ext cx="304800" cy="310911"/>
    <xdr:sp macro="" textlink="">
      <xdr:nvSpPr>
        <xdr:cNvPr id="241" name="AutoShape 1" descr="Bristol Bears">
          <a:extLst>
            <a:ext uri="{FF2B5EF4-FFF2-40B4-BE49-F238E27FC236}">
              <a16:creationId xmlns:a16="http://schemas.microsoft.com/office/drawing/2014/main" id="{415869CD-4D6C-42FA-9664-A5CB661E3FF4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569343"/>
          <a:ext cx="304800" cy="310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34505</xdr:colOff>
      <xdr:row>29</xdr:row>
      <xdr:rowOff>17252</xdr:rowOff>
    </xdr:from>
    <xdr:ext cx="304800" cy="310910"/>
    <xdr:sp macro="" textlink="">
      <xdr:nvSpPr>
        <xdr:cNvPr id="242" name="AutoShape 2" descr="Exeter Chiefs">
          <a:extLst>
            <a:ext uri="{FF2B5EF4-FFF2-40B4-BE49-F238E27FC236}">
              <a16:creationId xmlns:a16="http://schemas.microsoft.com/office/drawing/2014/main" id="{E7701B44-9AE3-47C1-8005-12FBAAE2BA0F}"/>
            </a:ext>
          </a:extLst>
        </xdr:cNvPr>
        <xdr:cNvSpPr>
          <a:spLocks noChangeAspect="1" noChangeArrowheads="1"/>
        </xdr:cNvSpPr>
      </xdr:nvSpPr>
      <xdr:spPr bwMode="auto">
        <a:xfrm>
          <a:off x="14561388" y="1725282"/>
          <a:ext cx="304800" cy="310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25</xdr:row>
      <xdr:rowOff>0</xdr:rowOff>
    </xdr:from>
    <xdr:ext cx="304800" cy="492065"/>
    <xdr:sp macro="" textlink="">
      <xdr:nvSpPr>
        <xdr:cNvPr id="243" name="AutoShape 3" descr="Harlequins">
          <a:extLst>
            <a:ext uri="{FF2B5EF4-FFF2-40B4-BE49-F238E27FC236}">
              <a16:creationId xmlns:a16="http://schemas.microsoft.com/office/drawing/2014/main" id="{708528AE-1C14-48E3-9023-5F52EA5D442A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948906"/>
          <a:ext cx="304800" cy="492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26</xdr:row>
      <xdr:rowOff>0</xdr:rowOff>
    </xdr:from>
    <xdr:ext cx="304800" cy="310911"/>
    <xdr:sp macro="" textlink="">
      <xdr:nvSpPr>
        <xdr:cNvPr id="244" name="AutoShape 4" descr="Sale Sharks">
          <a:extLst>
            <a:ext uri="{FF2B5EF4-FFF2-40B4-BE49-F238E27FC236}">
              <a16:creationId xmlns:a16="http://schemas.microsoft.com/office/drawing/2014/main" id="{8B83DD89-4FB3-46E0-8C3E-AC3F61D0DAD0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1138687"/>
          <a:ext cx="304800" cy="310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33</xdr:row>
      <xdr:rowOff>0</xdr:rowOff>
    </xdr:from>
    <xdr:ext cx="304800" cy="492065"/>
    <xdr:sp macro="" textlink="">
      <xdr:nvSpPr>
        <xdr:cNvPr id="245" name="AutoShape 5" descr="Northampton Saints">
          <a:extLst>
            <a:ext uri="{FF2B5EF4-FFF2-40B4-BE49-F238E27FC236}">
              <a16:creationId xmlns:a16="http://schemas.microsoft.com/office/drawing/2014/main" id="{65124ACE-260D-4124-B244-6033FD859CD1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2467155"/>
          <a:ext cx="304800" cy="492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34</xdr:row>
      <xdr:rowOff>0</xdr:rowOff>
    </xdr:from>
    <xdr:ext cx="304800" cy="492064"/>
    <xdr:sp macro="" textlink="">
      <xdr:nvSpPr>
        <xdr:cNvPr id="246" name="AutoShape 6" descr="London Irish">
          <a:extLst>
            <a:ext uri="{FF2B5EF4-FFF2-40B4-BE49-F238E27FC236}">
              <a16:creationId xmlns:a16="http://schemas.microsoft.com/office/drawing/2014/main" id="{C0419C91-8FB2-4993-9E62-C251B52205AF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2656936"/>
          <a:ext cx="304800" cy="492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35</xdr:row>
      <xdr:rowOff>0</xdr:rowOff>
    </xdr:from>
    <xdr:ext cx="304800" cy="492066"/>
    <xdr:sp macro="" textlink="">
      <xdr:nvSpPr>
        <xdr:cNvPr id="247" name="AutoShape 7" descr="Leicester Tigers">
          <a:extLst>
            <a:ext uri="{FF2B5EF4-FFF2-40B4-BE49-F238E27FC236}">
              <a16:creationId xmlns:a16="http://schemas.microsoft.com/office/drawing/2014/main" id="{DF0CCB78-14EB-4F05-ABB0-0CC3AA79F8DC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2846717"/>
          <a:ext cx="304800" cy="4920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36</xdr:row>
      <xdr:rowOff>0</xdr:rowOff>
    </xdr:from>
    <xdr:ext cx="304800" cy="492065"/>
    <xdr:sp macro="" textlink="">
      <xdr:nvSpPr>
        <xdr:cNvPr id="248" name="AutoShape 8" descr="Newcastle Falcons">
          <a:extLst>
            <a:ext uri="{FF2B5EF4-FFF2-40B4-BE49-F238E27FC236}">
              <a16:creationId xmlns:a16="http://schemas.microsoft.com/office/drawing/2014/main" id="{AAE08A97-1A7B-4DEF-962D-292C65F5B85C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3036498"/>
          <a:ext cx="304800" cy="492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609600</xdr:colOff>
      <xdr:row>37</xdr:row>
      <xdr:rowOff>19050</xdr:rowOff>
    </xdr:from>
    <xdr:ext cx="298150" cy="310910"/>
    <xdr:sp macro="" textlink="">
      <xdr:nvSpPr>
        <xdr:cNvPr id="249" name="AutoShape 9" descr="Bath Rugby">
          <a:extLst>
            <a:ext uri="{FF2B5EF4-FFF2-40B4-BE49-F238E27FC236}">
              <a16:creationId xmlns:a16="http://schemas.microsoft.com/office/drawing/2014/main" id="{74832B40-A445-45E7-B926-5E44794E4800}"/>
            </a:ext>
          </a:extLst>
        </xdr:cNvPr>
        <xdr:cNvSpPr>
          <a:spLocks noChangeAspect="1" noChangeArrowheads="1"/>
        </xdr:cNvSpPr>
      </xdr:nvSpPr>
      <xdr:spPr bwMode="auto">
        <a:xfrm>
          <a:off x="14524008" y="3245329"/>
          <a:ext cx="298150" cy="310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609600</xdr:colOff>
      <xdr:row>43</xdr:row>
      <xdr:rowOff>19050</xdr:rowOff>
    </xdr:from>
    <xdr:ext cx="298150" cy="302284"/>
    <xdr:sp macro="" textlink="">
      <xdr:nvSpPr>
        <xdr:cNvPr id="250" name="AutoShape 9" descr="Bath Rugby">
          <a:extLst>
            <a:ext uri="{FF2B5EF4-FFF2-40B4-BE49-F238E27FC236}">
              <a16:creationId xmlns:a16="http://schemas.microsoft.com/office/drawing/2014/main" id="{79EE1B4D-30B2-4942-95F7-1479A771445E}"/>
            </a:ext>
          </a:extLst>
        </xdr:cNvPr>
        <xdr:cNvSpPr>
          <a:spLocks noChangeAspect="1" noChangeArrowheads="1"/>
        </xdr:cNvSpPr>
      </xdr:nvSpPr>
      <xdr:spPr bwMode="auto">
        <a:xfrm>
          <a:off x="14524008" y="4763578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41</xdr:row>
      <xdr:rowOff>0</xdr:rowOff>
    </xdr:from>
    <xdr:ext cx="304800" cy="302284"/>
    <xdr:sp macro="" textlink="">
      <xdr:nvSpPr>
        <xdr:cNvPr id="251" name="AutoShape 10" descr="Wasps">
          <a:extLst>
            <a:ext uri="{FF2B5EF4-FFF2-40B4-BE49-F238E27FC236}">
              <a16:creationId xmlns:a16="http://schemas.microsoft.com/office/drawing/2014/main" id="{C6BDF5C4-4057-4692-A166-C2B941F44B15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436496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41</xdr:row>
      <xdr:rowOff>0</xdr:rowOff>
    </xdr:from>
    <xdr:ext cx="304800" cy="302284"/>
    <xdr:sp macro="" textlink="">
      <xdr:nvSpPr>
        <xdr:cNvPr id="252" name="AutoShape 10" descr="Wasps">
          <a:extLst>
            <a:ext uri="{FF2B5EF4-FFF2-40B4-BE49-F238E27FC236}">
              <a16:creationId xmlns:a16="http://schemas.microsoft.com/office/drawing/2014/main" id="{83044A79-9E55-436E-BE0A-D5B6F5F8672F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436496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41</xdr:row>
      <xdr:rowOff>0</xdr:rowOff>
    </xdr:from>
    <xdr:ext cx="304800" cy="302284"/>
    <xdr:sp macro="" textlink="">
      <xdr:nvSpPr>
        <xdr:cNvPr id="253" name="AutoShape 10" descr="Wasps">
          <a:extLst>
            <a:ext uri="{FF2B5EF4-FFF2-40B4-BE49-F238E27FC236}">
              <a16:creationId xmlns:a16="http://schemas.microsoft.com/office/drawing/2014/main" id="{095EECD0-4983-4897-A3F6-6CEDBE55DB10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436496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41</xdr:row>
      <xdr:rowOff>0</xdr:rowOff>
    </xdr:from>
    <xdr:ext cx="304800" cy="302284"/>
    <xdr:sp macro="" textlink="">
      <xdr:nvSpPr>
        <xdr:cNvPr id="254" name="AutoShape 10" descr="Wasps">
          <a:extLst>
            <a:ext uri="{FF2B5EF4-FFF2-40B4-BE49-F238E27FC236}">
              <a16:creationId xmlns:a16="http://schemas.microsoft.com/office/drawing/2014/main" id="{6CD85518-8B35-4AED-8038-2EBC83591549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436496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42</xdr:row>
      <xdr:rowOff>0</xdr:rowOff>
    </xdr:from>
    <xdr:ext cx="304800" cy="302284"/>
    <xdr:sp macro="" textlink="">
      <xdr:nvSpPr>
        <xdr:cNvPr id="255" name="AutoShape 10" descr="Wasps">
          <a:extLst>
            <a:ext uri="{FF2B5EF4-FFF2-40B4-BE49-F238E27FC236}">
              <a16:creationId xmlns:a16="http://schemas.microsoft.com/office/drawing/2014/main" id="{764D1390-62EC-451B-8BCF-401A5386120C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455474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42</xdr:row>
      <xdr:rowOff>0</xdr:rowOff>
    </xdr:from>
    <xdr:ext cx="304800" cy="302284"/>
    <xdr:sp macro="" textlink="">
      <xdr:nvSpPr>
        <xdr:cNvPr id="256" name="AutoShape 10" descr="Wasps">
          <a:extLst>
            <a:ext uri="{FF2B5EF4-FFF2-40B4-BE49-F238E27FC236}">
              <a16:creationId xmlns:a16="http://schemas.microsoft.com/office/drawing/2014/main" id="{0A07FB6F-5F65-4496-9BDE-517521E017B7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455474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43</xdr:row>
      <xdr:rowOff>0</xdr:rowOff>
    </xdr:from>
    <xdr:ext cx="304800" cy="302284"/>
    <xdr:sp macro="" textlink="">
      <xdr:nvSpPr>
        <xdr:cNvPr id="257" name="AutoShape 10" descr="Wasps">
          <a:extLst>
            <a:ext uri="{FF2B5EF4-FFF2-40B4-BE49-F238E27FC236}">
              <a16:creationId xmlns:a16="http://schemas.microsoft.com/office/drawing/2014/main" id="{AFCBE1B7-BCBC-4C9B-A3D1-A797072EEEB8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474452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43</xdr:row>
      <xdr:rowOff>0</xdr:rowOff>
    </xdr:from>
    <xdr:ext cx="304800" cy="302284"/>
    <xdr:sp macro="" textlink="">
      <xdr:nvSpPr>
        <xdr:cNvPr id="258" name="AutoShape 10" descr="Wasps">
          <a:extLst>
            <a:ext uri="{FF2B5EF4-FFF2-40B4-BE49-F238E27FC236}">
              <a16:creationId xmlns:a16="http://schemas.microsoft.com/office/drawing/2014/main" id="{A359E7AA-D4C2-4826-BDD9-D48BF584D34B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474452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44</xdr:row>
      <xdr:rowOff>0</xdr:rowOff>
    </xdr:from>
    <xdr:ext cx="304800" cy="302284"/>
    <xdr:sp macro="" textlink="">
      <xdr:nvSpPr>
        <xdr:cNvPr id="259" name="AutoShape 10" descr="Wasps">
          <a:extLst>
            <a:ext uri="{FF2B5EF4-FFF2-40B4-BE49-F238E27FC236}">
              <a16:creationId xmlns:a16="http://schemas.microsoft.com/office/drawing/2014/main" id="{4E42AC7E-D6F0-45F3-A64F-EBE65D904B43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493430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44</xdr:row>
      <xdr:rowOff>0</xdr:rowOff>
    </xdr:from>
    <xdr:ext cx="304800" cy="302284"/>
    <xdr:sp macro="" textlink="">
      <xdr:nvSpPr>
        <xdr:cNvPr id="260" name="AutoShape 10" descr="Wasps">
          <a:extLst>
            <a:ext uri="{FF2B5EF4-FFF2-40B4-BE49-F238E27FC236}">
              <a16:creationId xmlns:a16="http://schemas.microsoft.com/office/drawing/2014/main" id="{1F61C810-7D5E-4C3B-ABB9-CB0FD7C5F760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493430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51</xdr:row>
      <xdr:rowOff>0</xdr:rowOff>
    </xdr:from>
    <xdr:ext cx="304800" cy="302284"/>
    <xdr:sp macro="" textlink="">
      <xdr:nvSpPr>
        <xdr:cNvPr id="261" name="AutoShape 10" descr="Wasps">
          <a:extLst>
            <a:ext uri="{FF2B5EF4-FFF2-40B4-BE49-F238E27FC236}">
              <a16:creationId xmlns:a16="http://schemas.microsoft.com/office/drawing/2014/main" id="{C181D69E-3649-4137-9ECD-9A674FBA7289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626277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51</xdr:row>
      <xdr:rowOff>0</xdr:rowOff>
    </xdr:from>
    <xdr:ext cx="304800" cy="302284"/>
    <xdr:sp macro="" textlink="">
      <xdr:nvSpPr>
        <xdr:cNvPr id="262" name="AutoShape 10" descr="Wasps">
          <a:extLst>
            <a:ext uri="{FF2B5EF4-FFF2-40B4-BE49-F238E27FC236}">
              <a16:creationId xmlns:a16="http://schemas.microsoft.com/office/drawing/2014/main" id="{55B2CF86-DEE5-4733-9B60-A226B1405A83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626277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52</xdr:row>
      <xdr:rowOff>0</xdr:rowOff>
    </xdr:from>
    <xdr:ext cx="304800" cy="302284"/>
    <xdr:sp macro="" textlink="">
      <xdr:nvSpPr>
        <xdr:cNvPr id="263" name="AutoShape 10" descr="Wasps">
          <a:extLst>
            <a:ext uri="{FF2B5EF4-FFF2-40B4-BE49-F238E27FC236}">
              <a16:creationId xmlns:a16="http://schemas.microsoft.com/office/drawing/2014/main" id="{93EE9562-A87B-4303-8B2C-98F5475DEB43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645255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52</xdr:row>
      <xdr:rowOff>0</xdr:rowOff>
    </xdr:from>
    <xdr:ext cx="304800" cy="302284"/>
    <xdr:sp macro="" textlink="">
      <xdr:nvSpPr>
        <xdr:cNvPr id="264" name="AutoShape 10" descr="Wasps">
          <a:extLst>
            <a:ext uri="{FF2B5EF4-FFF2-40B4-BE49-F238E27FC236}">
              <a16:creationId xmlns:a16="http://schemas.microsoft.com/office/drawing/2014/main" id="{E4ABA0DD-6A32-4106-9A6E-A50AD0AC8DF6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645255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53</xdr:row>
      <xdr:rowOff>0</xdr:rowOff>
    </xdr:from>
    <xdr:ext cx="304800" cy="302284"/>
    <xdr:sp macro="" textlink="">
      <xdr:nvSpPr>
        <xdr:cNvPr id="265" name="AutoShape 10" descr="Wasps">
          <a:extLst>
            <a:ext uri="{FF2B5EF4-FFF2-40B4-BE49-F238E27FC236}">
              <a16:creationId xmlns:a16="http://schemas.microsoft.com/office/drawing/2014/main" id="{4536F12D-9C24-4B1B-9168-DCDFDB48F3EE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664234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53</xdr:row>
      <xdr:rowOff>0</xdr:rowOff>
    </xdr:from>
    <xdr:ext cx="304800" cy="302284"/>
    <xdr:sp macro="" textlink="">
      <xdr:nvSpPr>
        <xdr:cNvPr id="266" name="AutoShape 10" descr="Wasps">
          <a:extLst>
            <a:ext uri="{FF2B5EF4-FFF2-40B4-BE49-F238E27FC236}">
              <a16:creationId xmlns:a16="http://schemas.microsoft.com/office/drawing/2014/main" id="{CC9114C2-520F-44EA-AA45-7CB060C8A0D1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664234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54</xdr:row>
      <xdr:rowOff>0</xdr:rowOff>
    </xdr:from>
    <xdr:ext cx="304800" cy="302284"/>
    <xdr:sp macro="" textlink="">
      <xdr:nvSpPr>
        <xdr:cNvPr id="267" name="AutoShape 10" descr="Wasps">
          <a:extLst>
            <a:ext uri="{FF2B5EF4-FFF2-40B4-BE49-F238E27FC236}">
              <a16:creationId xmlns:a16="http://schemas.microsoft.com/office/drawing/2014/main" id="{81ABA5FC-7F84-41BB-AF1F-8078FBDE1DA1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683212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41</xdr:row>
      <xdr:rowOff>0</xdr:rowOff>
    </xdr:from>
    <xdr:ext cx="304800" cy="302284"/>
    <xdr:sp macro="" textlink="">
      <xdr:nvSpPr>
        <xdr:cNvPr id="268" name="AutoShape 1" descr="Bristol Bears">
          <a:extLst>
            <a:ext uri="{FF2B5EF4-FFF2-40B4-BE49-F238E27FC236}">
              <a16:creationId xmlns:a16="http://schemas.microsoft.com/office/drawing/2014/main" id="{B2EFDBFF-5925-48A3-9B9F-EBCA2947A693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436496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42</xdr:row>
      <xdr:rowOff>0</xdr:rowOff>
    </xdr:from>
    <xdr:ext cx="304800" cy="302284"/>
    <xdr:sp macro="" textlink="">
      <xdr:nvSpPr>
        <xdr:cNvPr id="269" name="AutoShape 2" descr="Exeter Chiefs">
          <a:extLst>
            <a:ext uri="{FF2B5EF4-FFF2-40B4-BE49-F238E27FC236}">
              <a16:creationId xmlns:a16="http://schemas.microsoft.com/office/drawing/2014/main" id="{95E64A92-D86F-4B50-846F-DEDAAE18A4AB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455474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43</xdr:row>
      <xdr:rowOff>0</xdr:rowOff>
    </xdr:from>
    <xdr:ext cx="304800" cy="302284"/>
    <xdr:sp macro="" textlink="">
      <xdr:nvSpPr>
        <xdr:cNvPr id="270" name="AutoShape 3" descr="Harlequins">
          <a:extLst>
            <a:ext uri="{FF2B5EF4-FFF2-40B4-BE49-F238E27FC236}">
              <a16:creationId xmlns:a16="http://schemas.microsoft.com/office/drawing/2014/main" id="{4C4E10BB-608A-4171-B634-AD0611B1A4E0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474452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44</xdr:row>
      <xdr:rowOff>0</xdr:rowOff>
    </xdr:from>
    <xdr:ext cx="304800" cy="302284"/>
    <xdr:sp macro="" textlink="">
      <xdr:nvSpPr>
        <xdr:cNvPr id="271" name="AutoShape 4" descr="Sale Sharks">
          <a:extLst>
            <a:ext uri="{FF2B5EF4-FFF2-40B4-BE49-F238E27FC236}">
              <a16:creationId xmlns:a16="http://schemas.microsoft.com/office/drawing/2014/main" id="{4431DF54-5A84-4F30-B673-23653481F76A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493430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51</xdr:row>
      <xdr:rowOff>0</xdr:rowOff>
    </xdr:from>
    <xdr:ext cx="304800" cy="302284"/>
    <xdr:sp macro="" textlink="">
      <xdr:nvSpPr>
        <xdr:cNvPr id="272" name="AutoShape 5" descr="Northampton Saints">
          <a:extLst>
            <a:ext uri="{FF2B5EF4-FFF2-40B4-BE49-F238E27FC236}">
              <a16:creationId xmlns:a16="http://schemas.microsoft.com/office/drawing/2014/main" id="{06A11BD8-74F2-481C-AAAC-F986D4F6431A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626277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52</xdr:row>
      <xdr:rowOff>0</xdr:rowOff>
    </xdr:from>
    <xdr:ext cx="304800" cy="302284"/>
    <xdr:sp macro="" textlink="">
      <xdr:nvSpPr>
        <xdr:cNvPr id="273" name="AutoShape 6" descr="London Irish">
          <a:extLst>
            <a:ext uri="{FF2B5EF4-FFF2-40B4-BE49-F238E27FC236}">
              <a16:creationId xmlns:a16="http://schemas.microsoft.com/office/drawing/2014/main" id="{1DEEF659-2A88-4F41-8FE8-E67AD70EDAC5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645255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53</xdr:row>
      <xdr:rowOff>0</xdr:rowOff>
    </xdr:from>
    <xdr:ext cx="304800" cy="302284"/>
    <xdr:sp macro="" textlink="">
      <xdr:nvSpPr>
        <xdr:cNvPr id="274" name="AutoShape 7" descr="Leicester Tigers">
          <a:extLst>
            <a:ext uri="{FF2B5EF4-FFF2-40B4-BE49-F238E27FC236}">
              <a16:creationId xmlns:a16="http://schemas.microsoft.com/office/drawing/2014/main" id="{3F6C9F1B-B23B-4321-98A7-66A88E0CCF51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664234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41</xdr:row>
      <xdr:rowOff>0</xdr:rowOff>
    </xdr:from>
    <xdr:ext cx="304800" cy="303003"/>
    <xdr:sp macro="" textlink="">
      <xdr:nvSpPr>
        <xdr:cNvPr id="275" name="AutoShape 1" descr="Bristol Bears">
          <a:extLst>
            <a:ext uri="{FF2B5EF4-FFF2-40B4-BE49-F238E27FC236}">
              <a16:creationId xmlns:a16="http://schemas.microsoft.com/office/drawing/2014/main" id="{609464A9-EA88-4A09-8602-C1B0570300DF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4364966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42</xdr:row>
      <xdr:rowOff>0</xdr:rowOff>
    </xdr:from>
    <xdr:ext cx="304800" cy="303002"/>
    <xdr:sp macro="" textlink="">
      <xdr:nvSpPr>
        <xdr:cNvPr id="276" name="AutoShape 2" descr="Exeter Chiefs">
          <a:extLst>
            <a:ext uri="{FF2B5EF4-FFF2-40B4-BE49-F238E27FC236}">
              <a16:creationId xmlns:a16="http://schemas.microsoft.com/office/drawing/2014/main" id="{1B4A0C46-82AB-4640-9F6E-9E3F5882CA40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4554747"/>
          <a:ext cx="304800" cy="303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43</xdr:row>
      <xdr:rowOff>0</xdr:rowOff>
    </xdr:from>
    <xdr:ext cx="304800" cy="303003"/>
    <xdr:sp macro="" textlink="">
      <xdr:nvSpPr>
        <xdr:cNvPr id="277" name="AutoShape 3" descr="Harlequins">
          <a:extLst>
            <a:ext uri="{FF2B5EF4-FFF2-40B4-BE49-F238E27FC236}">
              <a16:creationId xmlns:a16="http://schemas.microsoft.com/office/drawing/2014/main" id="{0340ECB3-8369-4D1A-B25D-C2D06FE470C1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4744528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44</xdr:row>
      <xdr:rowOff>0</xdr:rowOff>
    </xdr:from>
    <xdr:ext cx="304800" cy="303003"/>
    <xdr:sp macro="" textlink="">
      <xdr:nvSpPr>
        <xdr:cNvPr id="278" name="AutoShape 4" descr="Sale Sharks">
          <a:extLst>
            <a:ext uri="{FF2B5EF4-FFF2-40B4-BE49-F238E27FC236}">
              <a16:creationId xmlns:a16="http://schemas.microsoft.com/office/drawing/2014/main" id="{CFD8F0F9-A435-4B59-9410-A633805BF766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4934309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51</xdr:row>
      <xdr:rowOff>0</xdr:rowOff>
    </xdr:from>
    <xdr:ext cx="304800" cy="303003"/>
    <xdr:sp macro="" textlink="">
      <xdr:nvSpPr>
        <xdr:cNvPr id="279" name="AutoShape 5" descr="Northampton Saints">
          <a:extLst>
            <a:ext uri="{FF2B5EF4-FFF2-40B4-BE49-F238E27FC236}">
              <a16:creationId xmlns:a16="http://schemas.microsoft.com/office/drawing/2014/main" id="{31CC3A72-1AB7-4ABF-BC29-40769B266C60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6262777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52</xdr:row>
      <xdr:rowOff>0</xdr:rowOff>
    </xdr:from>
    <xdr:ext cx="304800" cy="303003"/>
    <xdr:sp macro="" textlink="">
      <xdr:nvSpPr>
        <xdr:cNvPr id="280" name="AutoShape 6" descr="London Irish">
          <a:extLst>
            <a:ext uri="{FF2B5EF4-FFF2-40B4-BE49-F238E27FC236}">
              <a16:creationId xmlns:a16="http://schemas.microsoft.com/office/drawing/2014/main" id="{F515DF73-185D-403D-BA67-BDA953756326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6452558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53</xdr:row>
      <xdr:rowOff>0</xdr:rowOff>
    </xdr:from>
    <xdr:ext cx="304800" cy="303003"/>
    <xdr:sp macro="" textlink="">
      <xdr:nvSpPr>
        <xdr:cNvPr id="281" name="AutoShape 7" descr="Leicester Tigers">
          <a:extLst>
            <a:ext uri="{FF2B5EF4-FFF2-40B4-BE49-F238E27FC236}">
              <a16:creationId xmlns:a16="http://schemas.microsoft.com/office/drawing/2014/main" id="{874581C6-8318-4D79-BD1A-BBCB5CEE83AA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664234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54</xdr:row>
      <xdr:rowOff>0</xdr:rowOff>
    </xdr:from>
    <xdr:ext cx="304800" cy="303003"/>
    <xdr:sp macro="" textlink="">
      <xdr:nvSpPr>
        <xdr:cNvPr id="282" name="AutoShape 8" descr="Newcastle Falcons">
          <a:extLst>
            <a:ext uri="{FF2B5EF4-FFF2-40B4-BE49-F238E27FC236}">
              <a16:creationId xmlns:a16="http://schemas.microsoft.com/office/drawing/2014/main" id="{0D24343C-B18A-4255-92B1-9D800618736A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6832121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54</xdr:row>
      <xdr:rowOff>19050</xdr:rowOff>
    </xdr:from>
    <xdr:ext cx="295275" cy="303003"/>
    <xdr:sp macro="" textlink="">
      <xdr:nvSpPr>
        <xdr:cNvPr id="283" name="AutoShape 9" descr="Bath Rugby">
          <a:extLst>
            <a:ext uri="{FF2B5EF4-FFF2-40B4-BE49-F238E27FC236}">
              <a16:creationId xmlns:a16="http://schemas.microsoft.com/office/drawing/2014/main" id="{3C353B23-3515-4E9A-88BB-08DDD4C5F237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6851171"/>
          <a:ext cx="295275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56</xdr:row>
      <xdr:rowOff>0</xdr:rowOff>
    </xdr:from>
    <xdr:ext cx="304800" cy="303002"/>
    <xdr:sp macro="" textlink="">
      <xdr:nvSpPr>
        <xdr:cNvPr id="284" name="AutoShape 10" descr="Wasps">
          <a:extLst>
            <a:ext uri="{FF2B5EF4-FFF2-40B4-BE49-F238E27FC236}">
              <a16:creationId xmlns:a16="http://schemas.microsoft.com/office/drawing/2014/main" id="{6A9CB22D-6921-4F13-BB24-73CB5787F613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7211683"/>
          <a:ext cx="304800" cy="303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41</xdr:row>
      <xdr:rowOff>0</xdr:rowOff>
    </xdr:from>
    <xdr:ext cx="304800" cy="302284"/>
    <xdr:sp macro="" textlink="">
      <xdr:nvSpPr>
        <xdr:cNvPr id="285" name="AutoShape 1" descr="Bristol Bears">
          <a:extLst>
            <a:ext uri="{FF2B5EF4-FFF2-40B4-BE49-F238E27FC236}">
              <a16:creationId xmlns:a16="http://schemas.microsoft.com/office/drawing/2014/main" id="{0CA87E51-D332-42EB-BD32-B65C9A6DCBE2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436496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42</xdr:row>
      <xdr:rowOff>0</xdr:rowOff>
    </xdr:from>
    <xdr:ext cx="304800" cy="302284"/>
    <xdr:sp macro="" textlink="">
      <xdr:nvSpPr>
        <xdr:cNvPr id="286" name="AutoShape 2" descr="Exeter Chiefs">
          <a:extLst>
            <a:ext uri="{FF2B5EF4-FFF2-40B4-BE49-F238E27FC236}">
              <a16:creationId xmlns:a16="http://schemas.microsoft.com/office/drawing/2014/main" id="{F24A86F9-EBD9-4865-99A3-2332BD48A9FF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455474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43</xdr:row>
      <xdr:rowOff>0</xdr:rowOff>
    </xdr:from>
    <xdr:ext cx="304800" cy="302284"/>
    <xdr:sp macro="" textlink="">
      <xdr:nvSpPr>
        <xdr:cNvPr id="287" name="AutoShape 3" descr="Harlequins">
          <a:extLst>
            <a:ext uri="{FF2B5EF4-FFF2-40B4-BE49-F238E27FC236}">
              <a16:creationId xmlns:a16="http://schemas.microsoft.com/office/drawing/2014/main" id="{D8B214AB-C348-4F07-9889-81C94E4D7CAA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474452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44</xdr:row>
      <xdr:rowOff>0</xdr:rowOff>
    </xdr:from>
    <xdr:ext cx="304800" cy="302284"/>
    <xdr:sp macro="" textlink="">
      <xdr:nvSpPr>
        <xdr:cNvPr id="288" name="AutoShape 4" descr="Sale Sharks">
          <a:extLst>
            <a:ext uri="{FF2B5EF4-FFF2-40B4-BE49-F238E27FC236}">
              <a16:creationId xmlns:a16="http://schemas.microsoft.com/office/drawing/2014/main" id="{CF569DB5-6F15-4F8A-AED8-61BBC78FF227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493430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51</xdr:row>
      <xdr:rowOff>0</xdr:rowOff>
    </xdr:from>
    <xdr:ext cx="304800" cy="302284"/>
    <xdr:sp macro="" textlink="">
      <xdr:nvSpPr>
        <xdr:cNvPr id="289" name="AutoShape 5" descr="Northampton Saints">
          <a:extLst>
            <a:ext uri="{FF2B5EF4-FFF2-40B4-BE49-F238E27FC236}">
              <a16:creationId xmlns:a16="http://schemas.microsoft.com/office/drawing/2014/main" id="{BEBF9E01-6FD2-46BF-A6C9-E66E86539552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626277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52</xdr:row>
      <xdr:rowOff>0</xdr:rowOff>
    </xdr:from>
    <xdr:ext cx="304800" cy="302284"/>
    <xdr:sp macro="" textlink="">
      <xdr:nvSpPr>
        <xdr:cNvPr id="290" name="AutoShape 6" descr="London Irish">
          <a:extLst>
            <a:ext uri="{FF2B5EF4-FFF2-40B4-BE49-F238E27FC236}">
              <a16:creationId xmlns:a16="http://schemas.microsoft.com/office/drawing/2014/main" id="{EA0ECBC1-A75B-4A28-85A8-F4A2DA94664F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645255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53</xdr:row>
      <xdr:rowOff>0</xdr:rowOff>
    </xdr:from>
    <xdr:ext cx="304800" cy="302284"/>
    <xdr:sp macro="" textlink="">
      <xdr:nvSpPr>
        <xdr:cNvPr id="291" name="AutoShape 7" descr="Leicester Tigers">
          <a:extLst>
            <a:ext uri="{FF2B5EF4-FFF2-40B4-BE49-F238E27FC236}">
              <a16:creationId xmlns:a16="http://schemas.microsoft.com/office/drawing/2014/main" id="{43F2F968-31E9-4715-9477-E4E02D154196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664234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54</xdr:row>
      <xdr:rowOff>0</xdr:rowOff>
    </xdr:from>
    <xdr:ext cx="304800" cy="302284"/>
    <xdr:sp macro="" textlink="">
      <xdr:nvSpPr>
        <xdr:cNvPr id="292" name="AutoShape 8" descr="Newcastle Falcons">
          <a:extLst>
            <a:ext uri="{FF2B5EF4-FFF2-40B4-BE49-F238E27FC236}">
              <a16:creationId xmlns:a16="http://schemas.microsoft.com/office/drawing/2014/main" id="{26FD5B55-1742-4208-A402-A71795066D43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683212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609600</xdr:colOff>
      <xdr:row>49</xdr:row>
      <xdr:rowOff>19050</xdr:rowOff>
    </xdr:from>
    <xdr:ext cx="298150" cy="302284"/>
    <xdr:sp macro="" textlink="">
      <xdr:nvSpPr>
        <xdr:cNvPr id="293" name="AutoShape 9" descr="Bath Rugby">
          <a:extLst>
            <a:ext uri="{FF2B5EF4-FFF2-40B4-BE49-F238E27FC236}">
              <a16:creationId xmlns:a16="http://schemas.microsoft.com/office/drawing/2014/main" id="{4CA36521-6C1A-4F71-8705-6631F03F1785}"/>
            </a:ext>
          </a:extLst>
        </xdr:cNvPr>
        <xdr:cNvSpPr>
          <a:spLocks noChangeAspect="1" noChangeArrowheads="1"/>
        </xdr:cNvSpPr>
      </xdr:nvSpPr>
      <xdr:spPr bwMode="auto">
        <a:xfrm>
          <a:off x="14524008" y="5902265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51759</xdr:colOff>
      <xdr:row>55</xdr:row>
      <xdr:rowOff>181156</xdr:rowOff>
    </xdr:from>
    <xdr:ext cx="304800" cy="302284"/>
    <xdr:sp macro="" textlink="">
      <xdr:nvSpPr>
        <xdr:cNvPr id="294" name="AutoShape 10" descr="Wasps">
          <a:extLst>
            <a:ext uri="{FF2B5EF4-FFF2-40B4-BE49-F238E27FC236}">
              <a16:creationId xmlns:a16="http://schemas.microsoft.com/office/drawing/2014/main" id="{F0F06B77-936B-4DCF-9538-467D7DB38C61}"/>
            </a:ext>
          </a:extLst>
        </xdr:cNvPr>
        <xdr:cNvSpPr>
          <a:spLocks noChangeAspect="1" noChangeArrowheads="1"/>
        </xdr:cNvSpPr>
      </xdr:nvSpPr>
      <xdr:spPr bwMode="auto">
        <a:xfrm>
          <a:off x="14578642" y="720305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41</xdr:row>
      <xdr:rowOff>0</xdr:rowOff>
    </xdr:from>
    <xdr:ext cx="304800" cy="310911"/>
    <xdr:sp macro="" textlink="">
      <xdr:nvSpPr>
        <xdr:cNvPr id="295" name="AutoShape 1" descr="Bristol Bears">
          <a:extLst>
            <a:ext uri="{FF2B5EF4-FFF2-40B4-BE49-F238E27FC236}">
              <a16:creationId xmlns:a16="http://schemas.microsoft.com/office/drawing/2014/main" id="{B3EDFF3D-7C59-4E37-8741-E8ADFF307522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4364966"/>
          <a:ext cx="304800" cy="310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34505</xdr:colOff>
      <xdr:row>47</xdr:row>
      <xdr:rowOff>17252</xdr:rowOff>
    </xdr:from>
    <xdr:ext cx="304800" cy="310910"/>
    <xdr:sp macro="" textlink="">
      <xdr:nvSpPr>
        <xdr:cNvPr id="296" name="AutoShape 2" descr="Exeter Chiefs">
          <a:extLst>
            <a:ext uri="{FF2B5EF4-FFF2-40B4-BE49-F238E27FC236}">
              <a16:creationId xmlns:a16="http://schemas.microsoft.com/office/drawing/2014/main" id="{2EC51F9F-9704-49B6-AE82-9B888FF0289E}"/>
            </a:ext>
          </a:extLst>
        </xdr:cNvPr>
        <xdr:cNvSpPr>
          <a:spLocks noChangeAspect="1" noChangeArrowheads="1"/>
        </xdr:cNvSpPr>
      </xdr:nvSpPr>
      <xdr:spPr bwMode="auto">
        <a:xfrm>
          <a:off x="14561388" y="5520905"/>
          <a:ext cx="304800" cy="310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43</xdr:row>
      <xdr:rowOff>0</xdr:rowOff>
    </xdr:from>
    <xdr:ext cx="304800" cy="492065"/>
    <xdr:sp macro="" textlink="">
      <xdr:nvSpPr>
        <xdr:cNvPr id="297" name="AutoShape 3" descr="Harlequins">
          <a:extLst>
            <a:ext uri="{FF2B5EF4-FFF2-40B4-BE49-F238E27FC236}">
              <a16:creationId xmlns:a16="http://schemas.microsoft.com/office/drawing/2014/main" id="{A6AAF091-E79A-44E5-AB5A-0353D0668976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4744528"/>
          <a:ext cx="304800" cy="492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44</xdr:row>
      <xdr:rowOff>0</xdr:rowOff>
    </xdr:from>
    <xdr:ext cx="304800" cy="310911"/>
    <xdr:sp macro="" textlink="">
      <xdr:nvSpPr>
        <xdr:cNvPr id="298" name="AutoShape 4" descr="Sale Sharks">
          <a:extLst>
            <a:ext uri="{FF2B5EF4-FFF2-40B4-BE49-F238E27FC236}">
              <a16:creationId xmlns:a16="http://schemas.microsoft.com/office/drawing/2014/main" id="{F9DC31BF-A8F4-4C7D-96C6-3419367A1FB2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4934309"/>
          <a:ext cx="304800" cy="310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51</xdr:row>
      <xdr:rowOff>0</xdr:rowOff>
    </xdr:from>
    <xdr:ext cx="304800" cy="492065"/>
    <xdr:sp macro="" textlink="">
      <xdr:nvSpPr>
        <xdr:cNvPr id="299" name="AutoShape 5" descr="Northampton Saints">
          <a:extLst>
            <a:ext uri="{FF2B5EF4-FFF2-40B4-BE49-F238E27FC236}">
              <a16:creationId xmlns:a16="http://schemas.microsoft.com/office/drawing/2014/main" id="{B3791672-DD7C-48B4-8916-7608C6932966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6262777"/>
          <a:ext cx="304800" cy="492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52</xdr:row>
      <xdr:rowOff>0</xdr:rowOff>
    </xdr:from>
    <xdr:ext cx="304800" cy="492064"/>
    <xdr:sp macro="" textlink="">
      <xdr:nvSpPr>
        <xdr:cNvPr id="300" name="AutoShape 6" descr="London Irish">
          <a:extLst>
            <a:ext uri="{FF2B5EF4-FFF2-40B4-BE49-F238E27FC236}">
              <a16:creationId xmlns:a16="http://schemas.microsoft.com/office/drawing/2014/main" id="{BC29EA5D-657E-4719-A9DD-B7C387E4BC81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6452558"/>
          <a:ext cx="304800" cy="492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53</xdr:row>
      <xdr:rowOff>0</xdr:rowOff>
    </xdr:from>
    <xdr:ext cx="304800" cy="492066"/>
    <xdr:sp macro="" textlink="">
      <xdr:nvSpPr>
        <xdr:cNvPr id="301" name="AutoShape 7" descr="Leicester Tigers">
          <a:extLst>
            <a:ext uri="{FF2B5EF4-FFF2-40B4-BE49-F238E27FC236}">
              <a16:creationId xmlns:a16="http://schemas.microsoft.com/office/drawing/2014/main" id="{C9A60723-1A87-49BD-AB29-F6EB578C36A1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6642340"/>
          <a:ext cx="304800" cy="4920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54</xdr:row>
      <xdr:rowOff>0</xdr:rowOff>
    </xdr:from>
    <xdr:ext cx="304800" cy="492065"/>
    <xdr:sp macro="" textlink="">
      <xdr:nvSpPr>
        <xdr:cNvPr id="302" name="AutoShape 8" descr="Newcastle Falcons">
          <a:extLst>
            <a:ext uri="{FF2B5EF4-FFF2-40B4-BE49-F238E27FC236}">
              <a16:creationId xmlns:a16="http://schemas.microsoft.com/office/drawing/2014/main" id="{368E98EB-D3A9-4F40-86F7-FFB23E20973B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6832121"/>
          <a:ext cx="304800" cy="492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609600</xdr:colOff>
      <xdr:row>55</xdr:row>
      <xdr:rowOff>19050</xdr:rowOff>
    </xdr:from>
    <xdr:ext cx="298150" cy="310910"/>
    <xdr:sp macro="" textlink="">
      <xdr:nvSpPr>
        <xdr:cNvPr id="303" name="AutoShape 9" descr="Bath Rugby">
          <a:extLst>
            <a:ext uri="{FF2B5EF4-FFF2-40B4-BE49-F238E27FC236}">
              <a16:creationId xmlns:a16="http://schemas.microsoft.com/office/drawing/2014/main" id="{44E05A0D-97CB-48D0-BEC0-BDF1F43BF01E}"/>
            </a:ext>
          </a:extLst>
        </xdr:cNvPr>
        <xdr:cNvSpPr>
          <a:spLocks noChangeAspect="1" noChangeArrowheads="1"/>
        </xdr:cNvSpPr>
      </xdr:nvSpPr>
      <xdr:spPr bwMode="auto">
        <a:xfrm>
          <a:off x="14524008" y="7040952"/>
          <a:ext cx="298150" cy="310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79</xdr:row>
      <xdr:rowOff>0</xdr:rowOff>
    </xdr:from>
    <xdr:ext cx="304800" cy="303002"/>
    <xdr:sp macro="" textlink="">
      <xdr:nvSpPr>
        <xdr:cNvPr id="304" name="AutoShape 10" descr="Wasps">
          <a:extLst>
            <a:ext uri="{FF2B5EF4-FFF2-40B4-BE49-F238E27FC236}">
              <a16:creationId xmlns:a16="http://schemas.microsoft.com/office/drawing/2014/main" id="{A53BFB20-FF40-4521-B4D2-3CE14A77A798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10627743"/>
          <a:ext cx="304800" cy="303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99</xdr:row>
      <xdr:rowOff>0</xdr:rowOff>
    </xdr:from>
    <xdr:ext cx="304800" cy="303002"/>
    <xdr:sp macro="" textlink="">
      <xdr:nvSpPr>
        <xdr:cNvPr id="305" name="AutoShape 10" descr="Wasps">
          <a:extLst>
            <a:ext uri="{FF2B5EF4-FFF2-40B4-BE49-F238E27FC236}">
              <a16:creationId xmlns:a16="http://schemas.microsoft.com/office/drawing/2014/main" id="{85F87EC5-D7FC-4840-B53E-4E380365E13A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10627743"/>
          <a:ext cx="304800" cy="303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75</xdr:row>
      <xdr:rowOff>0</xdr:rowOff>
    </xdr:from>
    <xdr:ext cx="304800" cy="303002"/>
    <xdr:sp macro="" textlink="">
      <xdr:nvSpPr>
        <xdr:cNvPr id="306" name="AutoShape 10" descr="Wasps">
          <a:extLst>
            <a:ext uri="{FF2B5EF4-FFF2-40B4-BE49-F238E27FC236}">
              <a16:creationId xmlns:a16="http://schemas.microsoft.com/office/drawing/2014/main" id="{B4ACB916-5B7F-4597-BA24-4D0D656325DC}"/>
            </a:ext>
          </a:extLst>
        </xdr:cNvPr>
        <xdr:cNvSpPr>
          <a:spLocks noChangeAspect="1" noChangeArrowheads="1"/>
        </xdr:cNvSpPr>
      </xdr:nvSpPr>
      <xdr:spPr bwMode="auto">
        <a:xfrm>
          <a:off x="10852030" y="17175192"/>
          <a:ext cx="304800" cy="303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30</xdr:row>
      <xdr:rowOff>8627</xdr:rowOff>
    </xdr:from>
    <xdr:to>
      <xdr:col>2</xdr:col>
      <xdr:colOff>275434</xdr:colOff>
      <xdr:row>37</xdr:row>
      <xdr:rowOff>120159</xdr:rowOff>
    </xdr:to>
    <xdr:pic>
      <xdr:nvPicPr>
        <xdr:cNvPr id="307" name="Picture 306">
          <a:extLst>
            <a:ext uri="{FF2B5EF4-FFF2-40B4-BE49-F238E27FC236}">
              <a16:creationId xmlns:a16="http://schemas.microsoft.com/office/drawing/2014/main" id="{E5376108-705E-411C-B8DB-457E00604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91842"/>
          <a:ext cx="1440000" cy="1440000"/>
        </a:xfrm>
        <a:prstGeom prst="rect">
          <a:avLst/>
        </a:prstGeom>
      </xdr:spPr>
    </xdr:pic>
    <xdr:clientData/>
  </xdr:twoCellAnchor>
  <xdr:oneCellAnchor>
    <xdr:from>
      <xdr:col>29</xdr:col>
      <xdr:colOff>173428</xdr:colOff>
      <xdr:row>77</xdr:row>
      <xdr:rowOff>33606</xdr:rowOff>
    </xdr:from>
    <xdr:ext cx="303002" cy="304800"/>
    <xdr:sp macro="" textlink="">
      <xdr:nvSpPr>
        <xdr:cNvPr id="308" name="AutoShape 10" descr="Wasps">
          <a:extLst>
            <a:ext uri="{FF2B5EF4-FFF2-40B4-BE49-F238E27FC236}">
              <a16:creationId xmlns:a16="http://schemas.microsoft.com/office/drawing/2014/main" id="{3BB61C18-A0F5-4C68-9BCF-EF2FDC6E2279}"/>
            </a:ext>
          </a:extLst>
        </xdr:cNvPr>
        <xdr:cNvSpPr>
          <a:spLocks noChangeAspect="1" noChangeArrowheads="1"/>
        </xdr:cNvSpPr>
      </xdr:nvSpPr>
      <xdr:spPr bwMode="auto">
        <a:xfrm rot="15247903">
          <a:off x="13828144" y="12120113"/>
          <a:ext cx="304800" cy="303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35</xdr:col>
      <xdr:colOff>0</xdr:colOff>
      <xdr:row>0</xdr:row>
      <xdr:rowOff>0</xdr:rowOff>
    </xdr:from>
    <xdr:to>
      <xdr:col>37</xdr:col>
      <xdr:colOff>197797</xdr:colOff>
      <xdr:row>7</xdr:row>
      <xdr:rowOff>111532</xdr:rowOff>
    </xdr:to>
    <xdr:pic>
      <xdr:nvPicPr>
        <xdr:cNvPr id="310" name="Picture 309">
          <a:extLst>
            <a:ext uri="{FF2B5EF4-FFF2-40B4-BE49-F238E27FC236}">
              <a16:creationId xmlns:a16="http://schemas.microsoft.com/office/drawing/2014/main" id="{4D4BFE30-EC26-4E3A-89DE-7D9082F67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5842" y="0"/>
          <a:ext cx="1440000" cy="1440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2</xdr:col>
      <xdr:colOff>327192</xdr:colOff>
      <xdr:row>30</xdr:row>
      <xdr:rowOff>111532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D40BA4-399C-42DB-8760-3A24758DE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64966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0</xdr:row>
      <xdr:rowOff>0</xdr:rowOff>
    </xdr:from>
    <xdr:to>
      <xdr:col>20</xdr:col>
      <xdr:colOff>197796</xdr:colOff>
      <xdr:row>7</xdr:row>
      <xdr:rowOff>111532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832A307-3886-495D-A145-21F7CC991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66430" y="0"/>
          <a:ext cx="1440000" cy="1440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8626</xdr:rowOff>
    </xdr:from>
    <xdr:to>
      <xdr:col>2</xdr:col>
      <xdr:colOff>542853</xdr:colOff>
      <xdr:row>35</xdr:row>
      <xdr:rowOff>180543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AE28920-EFE0-C172-5CC9-AECD40407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4486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51</xdr:col>
      <xdr:colOff>0</xdr:colOff>
      <xdr:row>0</xdr:row>
      <xdr:rowOff>0</xdr:rowOff>
    </xdr:from>
    <xdr:to>
      <xdr:col>53</xdr:col>
      <xdr:colOff>197796</xdr:colOff>
      <xdr:row>7</xdr:row>
      <xdr:rowOff>111532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AA9264-825C-4CEF-A998-19B6250DA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3192" y="0"/>
          <a:ext cx="1440000" cy="1440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2</xdr:col>
      <xdr:colOff>542853</xdr:colOff>
      <xdr:row>30</xdr:row>
      <xdr:rowOff>171917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55A2A4-A820-437C-AF3E-CA622EE04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70075"/>
          <a:ext cx="1440000" cy="1440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31</xdr:row>
      <xdr:rowOff>0</xdr:rowOff>
    </xdr:from>
    <xdr:to>
      <xdr:col>2</xdr:col>
      <xdr:colOff>542853</xdr:colOff>
      <xdr:row>38</xdr:row>
      <xdr:rowOff>171917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005E70-A93A-4159-82ED-09F69E1F7F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56672"/>
          <a:ext cx="1440000" cy="14400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0</xdr:rowOff>
    </xdr:from>
    <xdr:to>
      <xdr:col>2</xdr:col>
      <xdr:colOff>542853</xdr:colOff>
      <xdr:row>39</xdr:row>
      <xdr:rowOff>171917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E02DCA-9B1D-429E-9311-4332F9B13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72332"/>
          <a:ext cx="1440000" cy="1440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2</xdr:col>
      <xdr:colOff>542853</xdr:colOff>
      <xdr:row>28</xdr:row>
      <xdr:rowOff>171917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A5237DF-F1D2-476C-B25C-CE1509CB6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07766"/>
          <a:ext cx="1440000" cy="14400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29</xdr:row>
      <xdr:rowOff>0</xdr:rowOff>
    </xdr:from>
    <xdr:to>
      <xdr:col>2</xdr:col>
      <xdr:colOff>542853</xdr:colOff>
      <xdr:row>36</xdr:row>
      <xdr:rowOff>171917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026BCE-F10C-4039-BF68-FB8A05486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49638"/>
          <a:ext cx="1440000" cy="14400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0</xdr:rowOff>
    </xdr:from>
    <xdr:to>
      <xdr:col>2</xdr:col>
      <xdr:colOff>542853</xdr:colOff>
      <xdr:row>34</xdr:row>
      <xdr:rowOff>171917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FE3425-9E66-46E5-BA59-A53DD2CA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56672"/>
          <a:ext cx="1440000" cy="14400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2</xdr:col>
      <xdr:colOff>542853</xdr:colOff>
      <xdr:row>33</xdr:row>
      <xdr:rowOff>171917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B6DE0E2-1ED9-4B07-ABE7-50477F2F1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58264"/>
          <a:ext cx="1440000" cy="14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65</xdr:row>
      <xdr:rowOff>0</xdr:rowOff>
    </xdr:from>
    <xdr:to>
      <xdr:col>3</xdr:col>
      <xdr:colOff>163291</xdr:colOff>
      <xdr:row>72</xdr:row>
      <xdr:rowOff>171917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BB1C9E-AF64-4AC4-83DD-18A7246D4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577313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0</xdr:row>
      <xdr:rowOff>0</xdr:rowOff>
    </xdr:from>
    <xdr:to>
      <xdr:col>18</xdr:col>
      <xdr:colOff>197796</xdr:colOff>
      <xdr:row>7</xdr:row>
      <xdr:rowOff>111532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55D0238-38F1-4F09-B70D-5CE4D2EF0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2226" y="0"/>
          <a:ext cx="1440000" cy="14400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2</xdr:col>
      <xdr:colOff>542853</xdr:colOff>
      <xdr:row>32</xdr:row>
      <xdr:rowOff>171917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F484870-849F-49CC-97AE-5493B695A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49638"/>
          <a:ext cx="1440000" cy="14400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0</xdr:rowOff>
    </xdr:from>
    <xdr:to>
      <xdr:col>2</xdr:col>
      <xdr:colOff>542853</xdr:colOff>
      <xdr:row>34</xdr:row>
      <xdr:rowOff>171917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95F102-58EC-4253-8A6B-C602FE740F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85404"/>
          <a:ext cx="1440000" cy="144000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2</xdr:col>
      <xdr:colOff>542853</xdr:colOff>
      <xdr:row>26</xdr:row>
      <xdr:rowOff>171917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B0CF72-835D-48CE-96F9-8782F9E05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16392"/>
          <a:ext cx="1440000" cy="144000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0</xdr:rowOff>
    </xdr:from>
    <xdr:to>
      <xdr:col>2</xdr:col>
      <xdr:colOff>542853</xdr:colOff>
      <xdr:row>34</xdr:row>
      <xdr:rowOff>171917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08E06B-B97C-4208-8693-A87598B31A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39419"/>
          <a:ext cx="1440000" cy="144000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2</xdr:col>
      <xdr:colOff>542853</xdr:colOff>
      <xdr:row>33</xdr:row>
      <xdr:rowOff>171917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9819A8-C452-4350-8729-DC84880A8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49638"/>
          <a:ext cx="1440000" cy="144000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0</xdr:rowOff>
    </xdr:from>
    <xdr:to>
      <xdr:col>2</xdr:col>
      <xdr:colOff>542853</xdr:colOff>
      <xdr:row>34</xdr:row>
      <xdr:rowOff>111533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D1F3A7-AFD0-4D2C-964A-3E47C0F84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34309"/>
          <a:ext cx="1440000" cy="14400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2</xdr:col>
      <xdr:colOff>542853</xdr:colOff>
      <xdr:row>33</xdr:row>
      <xdr:rowOff>171917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9ABADA-996C-4358-A435-F2CEBCCE7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75517"/>
          <a:ext cx="1440000" cy="144000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0</xdr:rowOff>
    </xdr:from>
    <xdr:to>
      <xdr:col>2</xdr:col>
      <xdr:colOff>542853</xdr:colOff>
      <xdr:row>34</xdr:row>
      <xdr:rowOff>171917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EEFC19-3B56-49A5-A8D7-BA97426988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39419"/>
          <a:ext cx="1440000" cy="14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198407</xdr:rowOff>
    </xdr:from>
    <xdr:to>
      <xdr:col>2</xdr:col>
      <xdr:colOff>154664</xdr:colOff>
      <xdr:row>25</xdr:row>
      <xdr:rowOff>163290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B29BA8-3426-43BA-B0AE-5E8CBB71E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78037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197797</xdr:colOff>
      <xdr:row>7</xdr:row>
      <xdr:rowOff>171917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3F49D6E-4F04-41EC-99E8-15B6628DB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2725" y="0"/>
          <a:ext cx="1440000" cy="144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2</xdr:col>
      <xdr:colOff>206423</xdr:colOff>
      <xdr:row>28</xdr:row>
      <xdr:rowOff>163290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901C6D-DDEC-448D-A0C2-F1BEC62DD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68151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0</xdr:row>
      <xdr:rowOff>0</xdr:rowOff>
    </xdr:from>
    <xdr:to>
      <xdr:col>21</xdr:col>
      <xdr:colOff>197796</xdr:colOff>
      <xdr:row>7</xdr:row>
      <xdr:rowOff>111532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1336758-B2BB-456C-A038-989C15B21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63909" y="0"/>
          <a:ext cx="1440000" cy="144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3</xdr:col>
      <xdr:colOff>128785</xdr:colOff>
      <xdr:row>15</xdr:row>
      <xdr:rowOff>171917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A6AFEC-4A32-4025-9721-3AE5EF07B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92370"/>
          <a:ext cx="1440000" cy="144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3</xdr:col>
      <xdr:colOff>77026</xdr:colOff>
      <xdr:row>16</xdr:row>
      <xdr:rowOff>171917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183D94-2AF6-42DB-A7FF-55763EDE79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30392"/>
          <a:ext cx="1440000" cy="144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8626</xdr:rowOff>
    </xdr:from>
    <xdr:to>
      <xdr:col>2</xdr:col>
      <xdr:colOff>163291</xdr:colOff>
      <xdr:row>18</xdr:row>
      <xdr:rowOff>120158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13C1E1F-3626-450A-9E5F-0A41951CE0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22098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0</xdr:row>
      <xdr:rowOff>0</xdr:rowOff>
    </xdr:from>
    <xdr:to>
      <xdr:col>21</xdr:col>
      <xdr:colOff>197797</xdr:colOff>
      <xdr:row>7</xdr:row>
      <xdr:rowOff>85653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BEE4CA6-F9A1-4AA9-BA80-064FE25D4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2755" y="0"/>
          <a:ext cx="1440000" cy="1440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163902</xdr:rowOff>
    </xdr:from>
    <xdr:to>
      <xdr:col>1</xdr:col>
      <xdr:colOff>818898</xdr:colOff>
      <xdr:row>47</xdr:row>
      <xdr:rowOff>154664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DBE32B-CC18-42AC-91C3-5DCE21336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066362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197796</xdr:colOff>
      <xdr:row>7</xdr:row>
      <xdr:rowOff>120158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4EFEC0D-EE40-4248-95C9-2431D46BA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0634" y="0"/>
          <a:ext cx="1440000" cy="1440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49</xdr:row>
      <xdr:rowOff>0</xdr:rowOff>
    </xdr:from>
    <xdr:to>
      <xdr:col>1</xdr:col>
      <xdr:colOff>680875</xdr:colOff>
      <xdr:row>56</xdr:row>
      <xdr:rowOff>171917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E354B6-6C01-47EA-A237-F47227ACA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876581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197796</xdr:colOff>
      <xdr:row>7</xdr:row>
      <xdr:rowOff>171917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BA747A5-8977-4F60-BC5F-A5E1C2012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1562" y="0"/>
          <a:ext cx="1440000" cy="144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e%20Hill/Documents/BT%20PREMIERSHIP/Season%202018-19/Prem%2018-19%20Results%20&amp;%20Tab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e%20Hill/Documents/BT%20PREMIERSHIP/2016-17%20Season/Prem%20Club%20by%20Club%20Results%20&amp;%20Tables%202016-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T%20PREMIERSHIP/2015-16%20Season/Prem%20Club%20by%20Club%20Results%20&amp;%20Tables%202015-16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97d62a7607d3ee9b/Hillsport%20Media/PREM/Season%202024-25/Prem%2024-25%20Results%20%5eLL0%20Tables.xlsx" TargetMode="External"/><Relationship Id="rId1" Type="http://schemas.openxmlformats.org/officeDocument/2006/relationships/externalLinkPath" Target="/97d62a7607d3ee9b/Hillsport%20Media/PREM/Season%202024-25/Prem%2024-25%20Results%20%5eLL0%20T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"/>
      <sheetName val="Yr-By-Yr"/>
      <sheetName val="18-19 Sum"/>
      <sheetName val="Cards"/>
      <sheetName val="Stats"/>
      <sheetName val="Form"/>
      <sheetName val="Table"/>
      <sheetName val="Results"/>
      <sheetName val="BTH"/>
      <sheetName val="BRI"/>
      <sheetName val="EXE"/>
      <sheetName val="GLO"/>
      <sheetName val="HAR"/>
      <sheetName val="LEIC"/>
      <sheetName val="NEW"/>
      <sheetName val="NOR"/>
      <sheetName val="SAL"/>
      <sheetName val="SAR"/>
      <sheetName val="WAS"/>
      <sheetName val="WOR"/>
    </sheetNames>
    <sheetDataSet>
      <sheetData sheetId="0">
        <row r="3">
          <cell r="B3">
            <v>494</v>
          </cell>
          <cell r="C3">
            <v>275</v>
          </cell>
          <cell r="D3">
            <v>212</v>
          </cell>
          <cell r="E3">
            <v>19</v>
          </cell>
          <cell r="G3">
            <v>11071</v>
          </cell>
          <cell r="H3">
            <v>9789</v>
          </cell>
          <cell r="J3">
            <v>1121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37">
          <cell r="F37">
            <v>481</v>
          </cell>
          <cell r="G37">
            <v>480</v>
          </cell>
          <cell r="J37">
            <v>52</v>
          </cell>
          <cell r="L37">
            <v>2</v>
          </cell>
          <cell r="N37">
            <v>11</v>
          </cell>
          <cell r="O37">
            <v>1</v>
          </cell>
          <cell r="R37">
            <v>54</v>
          </cell>
          <cell r="Y37">
            <v>22</v>
          </cell>
          <cell r="AB37">
            <v>10</v>
          </cell>
        </row>
      </sheetData>
      <sheetData sheetId="9">
        <row r="36">
          <cell r="H36">
            <v>6</v>
          </cell>
          <cell r="L36">
            <v>0</v>
          </cell>
          <cell r="P36">
            <v>10</v>
          </cell>
        </row>
        <row r="38">
          <cell r="F38">
            <v>503</v>
          </cell>
          <cell r="G38">
            <v>580</v>
          </cell>
          <cell r="J38">
            <v>55</v>
          </cell>
          <cell r="L38">
            <v>0</v>
          </cell>
          <cell r="N38">
            <v>7</v>
          </cell>
          <cell r="O38">
            <v>1</v>
          </cell>
          <cell r="R38">
            <v>74</v>
          </cell>
          <cell r="Y38">
            <v>22</v>
          </cell>
          <cell r="Z38">
            <v>9</v>
          </cell>
          <cell r="AA38">
            <v>1</v>
          </cell>
          <cell r="AB38">
            <v>12</v>
          </cell>
        </row>
      </sheetData>
      <sheetData sheetId="10">
        <row r="37">
          <cell r="H37">
            <v>14</v>
          </cell>
          <cell r="P37">
            <v>6</v>
          </cell>
          <cell r="AA37">
            <v>0</v>
          </cell>
        </row>
        <row r="39">
          <cell r="F39">
            <v>706</v>
          </cell>
          <cell r="G39">
            <v>487</v>
          </cell>
          <cell r="J39">
            <v>100</v>
          </cell>
          <cell r="L39">
            <v>0</v>
          </cell>
          <cell r="N39">
            <v>8</v>
          </cell>
          <cell r="O39">
            <v>0</v>
          </cell>
          <cell r="R39">
            <v>58</v>
          </cell>
          <cell r="Y39">
            <v>24</v>
          </cell>
          <cell r="Z39">
            <v>18</v>
          </cell>
          <cell r="AB39">
            <v>6</v>
          </cell>
        </row>
      </sheetData>
      <sheetData sheetId="11">
        <row r="36">
          <cell r="H36">
            <v>10</v>
          </cell>
          <cell r="P36">
            <v>6</v>
          </cell>
        </row>
        <row r="38">
          <cell r="F38">
            <v>606</v>
          </cell>
          <cell r="G38">
            <v>559</v>
          </cell>
          <cell r="J38">
            <v>78</v>
          </cell>
          <cell r="L38">
            <v>0</v>
          </cell>
          <cell r="N38">
            <v>8</v>
          </cell>
          <cell r="O38">
            <v>0</v>
          </cell>
          <cell r="R38">
            <v>66</v>
          </cell>
          <cell r="Y38">
            <v>23</v>
          </cell>
          <cell r="Z38">
            <v>13</v>
          </cell>
          <cell r="AA38">
            <v>1</v>
          </cell>
          <cell r="AB38">
            <v>9</v>
          </cell>
        </row>
      </sheetData>
      <sheetData sheetId="12">
        <row r="37">
          <cell r="H37">
            <v>7</v>
          </cell>
          <cell r="P37">
            <v>6</v>
          </cell>
        </row>
        <row r="39">
          <cell r="F39">
            <v>544</v>
          </cell>
          <cell r="G39">
            <v>528</v>
          </cell>
          <cell r="J39">
            <v>63</v>
          </cell>
          <cell r="L39">
            <v>0</v>
          </cell>
          <cell r="N39">
            <v>13</v>
          </cell>
          <cell r="O39">
            <v>0</v>
          </cell>
          <cell r="R39">
            <v>56</v>
          </cell>
          <cell r="Y39">
            <v>22</v>
          </cell>
          <cell r="Z39">
            <v>10</v>
          </cell>
          <cell r="AA39">
            <v>0</v>
          </cell>
          <cell r="AB39">
            <v>12</v>
          </cell>
        </row>
      </sheetData>
      <sheetData sheetId="13">
        <row r="35">
          <cell r="H35">
            <v>5</v>
          </cell>
          <cell r="P35">
            <v>10</v>
          </cell>
        </row>
        <row r="37">
          <cell r="F37">
            <v>478</v>
          </cell>
          <cell r="G37">
            <v>632</v>
          </cell>
          <cell r="J37">
            <v>47</v>
          </cell>
          <cell r="L37">
            <v>0</v>
          </cell>
          <cell r="N37">
            <v>7</v>
          </cell>
          <cell r="O37">
            <v>4</v>
          </cell>
          <cell r="R37">
            <v>81</v>
          </cell>
          <cell r="Y37">
            <v>22</v>
          </cell>
          <cell r="Z37">
            <v>7</v>
          </cell>
          <cell r="AA37">
            <v>0</v>
          </cell>
          <cell r="AB37">
            <v>15</v>
          </cell>
        </row>
      </sheetData>
      <sheetData sheetId="14">
        <row r="36">
          <cell r="H36">
            <v>1</v>
          </cell>
          <cell r="P36">
            <v>9</v>
          </cell>
          <cell r="AA36">
            <v>0</v>
          </cell>
        </row>
        <row r="38">
          <cell r="F38">
            <v>395</v>
          </cell>
          <cell r="G38">
            <v>541</v>
          </cell>
          <cell r="J38">
            <v>43</v>
          </cell>
          <cell r="L38">
            <v>0</v>
          </cell>
          <cell r="N38">
            <v>9</v>
          </cell>
          <cell r="O38">
            <v>0</v>
          </cell>
          <cell r="R38">
            <v>66</v>
          </cell>
          <cell r="Y38">
            <v>22</v>
          </cell>
          <cell r="Z38">
            <v>6</v>
          </cell>
          <cell r="AB38">
            <v>16</v>
          </cell>
        </row>
      </sheetData>
      <sheetData sheetId="15">
        <row r="40">
          <cell r="H40">
            <v>8</v>
          </cell>
          <cell r="P40">
            <v>7</v>
          </cell>
        </row>
        <row r="42">
          <cell r="F42">
            <v>602</v>
          </cell>
          <cell r="G42">
            <v>563</v>
          </cell>
          <cell r="J42">
            <v>75</v>
          </cell>
          <cell r="L42">
            <v>0</v>
          </cell>
          <cell r="R42">
            <v>68</v>
          </cell>
          <cell r="Y42">
            <v>23</v>
          </cell>
          <cell r="Z42">
            <v>11</v>
          </cell>
          <cell r="AA42">
            <v>0</v>
          </cell>
          <cell r="AB42">
            <v>12</v>
          </cell>
        </row>
      </sheetData>
      <sheetData sheetId="16">
        <row r="37">
          <cell r="F37">
            <v>462</v>
          </cell>
          <cell r="G37">
            <v>504</v>
          </cell>
          <cell r="H37">
            <v>3</v>
          </cell>
          <cell r="P37">
            <v>7</v>
          </cell>
        </row>
        <row r="39">
          <cell r="J39">
            <v>52</v>
          </cell>
          <cell r="L39">
            <v>0</v>
          </cell>
          <cell r="N39">
            <v>6</v>
          </cell>
          <cell r="O39">
            <v>0</v>
          </cell>
          <cell r="R39">
            <v>62</v>
          </cell>
          <cell r="Y39">
            <v>22</v>
          </cell>
          <cell r="Z39">
            <v>11</v>
          </cell>
          <cell r="AA39">
            <v>2</v>
          </cell>
          <cell r="AB39">
            <v>9</v>
          </cell>
        </row>
      </sheetData>
      <sheetData sheetId="17">
        <row r="42">
          <cell r="H42">
            <v>10</v>
          </cell>
          <cell r="P42">
            <v>2</v>
          </cell>
        </row>
        <row r="44">
          <cell r="F44">
            <v>725</v>
          </cell>
          <cell r="G44">
            <v>493</v>
          </cell>
          <cell r="J44">
            <v>88</v>
          </cell>
          <cell r="L44">
            <v>0</v>
          </cell>
          <cell r="N44">
            <v>18</v>
          </cell>
          <cell r="O44">
            <v>0</v>
          </cell>
          <cell r="R44">
            <v>52</v>
          </cell>
          <cell r="Y44">
            <v>24</v>
          </cell>
          <cell r="Z44">
            <v>18</v>
          </cell>
          <cell r="AA44">
            <v>0</v>
          </cell>
          <cell r="AB44">
            <v>6</v>
          </cell>
        </row>
      </sheetData>
      <sheetData sheetId="18">
        <row r="35">
          <cell r="H35">
            <v>7</v>
          </cell>
          <cell r="P35">
            <v>6</v>
          </cell>
        </row>
        <row r="37">
          <cell r="F37">
            <v>483</v>
          </cell>
          <cell r="G37">
            <v>552</v>
          </cell>
          <cell r="J37">
            <v>56</v>
          </cell>
          <cell r="L37">
            <v>0</v>
          </cell>
          <cell r="N37">
            <v>8</v>
          </cell>
          <cell r="O37">
            <v>0</v>
          </cell>
          <cell r="R37">
            <v>62</v>
          </cell>
          <cell r="Y37">
            <v>22</v>
          </cell>
          <cell r="Z37">
            <v>10</v>
          </cell>
          <cell r="AA37">
            <v>0</v>
          </cell>
          <cell r="AB37">
            <v>12</v>
          </cell>
        </row>
      </sheetData>
      <sheetData sheetId="19">
        <row r="37">
          <cell r="H37">
            <v>6</v>
          </cell>
          <cell r="P37">
            <v>7</v>
          </cell>
        </row>
        <row r="39">
          <cell r="F39">
            <v>491</v>
          </cell>
          <cell r="G39">
            <v>557</v>
          </cell>
          <cell r="J39">
            <v>56</v>
          </cell>
          <cell r="L39">
            <v>0</v>
          </cell>
          <cell r="N39">
            <v>8</v>
          </cell>
          <cell r="O39">
            <v>1</v>
          </cell>
          <cell r="R39">
            <v>66</v>
          </cell>
          <cell r="Y39">
            <v>22</v>
          </cell>
          <cell r="Z39">
            <v>9</v>
          </cell>
          <cell r="AA39">
            <v>0</v>
          </cell>
          <cell r="AB39">
            <v>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"/>
      <sheetName val="Yr-By-Yr"/>
      <sheetName val="Cards"/>
      <sheetName val="Stats"/>
      <sheetName val="Form"/>
      <sheetName val="Table"/>
      <sheetName val="Results"/>
      <sheetName val="BTH"/>
      <sheetName val="BRI"/>
      <sheetName val="EXE"/>
      <sheetName val="GLO"/>
      <sheetName val="HAR"/>
      <sheetName val="LEIC"/>
      <sheetName val="NEW"/>
      <sheetName val="NOR"/>
      <sheetName val="SAL"/>
      <sheetName val="SAR"/>
      <sheetName val="WAS"/>
      <sheetName val="W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5">
          <cell r="N35">
            <v>10</v>
          </cell>
          <cell r="O35">
            <v>1</v>
          </cell>
        </row>
      </sheetData>
      <sheetData sheetId="9">
        <row r="39">
          <cell r="N39">
            <v>5</v>
          </cell>
          <cell r="O39">
            <v>2</v>
          </cell>
        </row>
      </sheetData>
      <sheetData sheetId="10">
        <row r="40">
          <cell r="N40">
            <v>2</v>
          </cell>
          <cell r="O40">
            <v>0</v>
          </cell>
        </row>
      </sheetData>
      <sheetData sheetId="11"/>
      <sheetData sheetId="12">
        <row r="39">
          <cell r="N39">
            <v>12</v>
          </cell>
          <cell r="O39">
            <v>0</v>
          </cell>
        </row>
      </sheetData>
      <sheetData sheetId="13">
        <row r="37">
          <cell r="N37">
            <v>13</v>
          </cell>
          <cell r="O37">
            <v>1</v>
          </cell>
        </row>
      </sheetData>
      <sheetData sheetId="14">
        <row r="37">
          <cell r="N37">
            <v>10</v>
          </cell>
          <cell r="O37">
            <v>2</v>
          </cell>
        </row>
      </sheetData>
      <sheetData sheetId="15"/>
      <sheetData sheetId="16">
        <row r="42">
          <cell r="N42">
            <v>0</v>
          </cell>
          <cell r="O42">
            <v>0</v>
          </cell>
        </row>
      </sheetData>
      <sheetData sheetId="17">
        <row r="40">
          <cell r="N40">
            <v>3</v>
          </cell>
          <cell r="O40">
            <v>0</v>
          </cell>
        </row>
      </sheetData>
      <sheetData sheetId="18">
        <row r="35">
          <cell r="N35">
            <v>9</v>
          </cell>
          <cell r="O35">
            <v>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Yr-By-Yr"/>
      <sheetName val="Cards"/>
      <sheetName val="Team Stats"/>
      <sheetName val="Form"/>
      <sheetName val="Table"/>
      <sheetName val="Results"/>
      <sheetName val="BTH"/>
      <sheetName val="EXE"/>
      <sheetName val="GLO"/>
      <sheetName val="HAR"/>
      <sheetName val="LEI"/>
      <sheetName val="LIR"/>
      <sheetName val="NEW"/>
      <sheetName val="NOR"/>
      <sheetName val="SAL"/>
      <sheetName val="SAR"/>
      <sheetName val="WAS"/>
      <sheetName val="W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6">
          <cell r="AB36">
            <v>1</v>
          </cell>
        </row>
      </sheetData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"/>
      <sheetName val="Yr-By-Yr"/>
      <sheetName val="24-25 Sum"/>
      <sheetName val="Cards"/>
      <sheetName val="Form"/>
      <sheetName val="Stats"/>
      <sheetName val="Table"/>
      <sheetName val="Results"/>
      <sheetName val="Prm Cup Cards"/>
      <sheetName val="Prm Cup Stats"/>
      <sheetName val="Prm Cup Tables"/>
      <sheetName val="BTH"/>
      <sheetName val="BRI"/>
      <sheetName val="EXE"/>
      <sheetName val="GLO"/>
      <sheetName val="HAR"/>
      <sheetName val="LEI"/>
      <sheetName val="NEW"/>
      <sheetName val="NOR"/>
      <sheetName val="SAL"/>
      <sheetName val="SAR"/>
      <sheetName val="BED"/>
      <sheetName val="DON"/>
      <sheetName val="E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38">
          <cell r="H38">
            <v>10</v>
          </cell>
        </row>
      </sheetData>
      <sheetData sheetId="19" refreshError="1"/>
      <sheetData sheetId="20">
        <row r="34">
          <cell r="H34">
            <v>12</v>
          </cell>
          <cell r="J34">
            <v>74</v>
          </cell>
          <cell r="P34">
            <v>10</v>
          </cell>
          <cell r="R34">
            <v>67</v>
          </cell>
        </row>
      </sheetData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2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2"/>
  <sheetViews>
    <sheetView tabSelected="1" workbookViewId="0">
      <selection activeCell="K101" sqref="K101"/>
    </sheetView>
  </sheetViews>
  <sheetFormatPr defaultRowHeight="14.3" x14ac:dyDescent="0.25"/>
  <cols>
    <col min="2" max="2" width="16" bestFit="1" customWidth="1"/>
    <col min="3" max="3" width="3.875" bestFit="1" customWidth="1"/>
    <col min="4" max="4" width="3.875" customWidth="1"/>
    <col min="5" max="5" width="16" bestFit="1" customWidth="1"/>
    <col min="6" max="6" width="3" bestFit="1" customWidth="1"/>
    <col min="7" max="7" width="2.875" bestFit="1" customWidth="1"/>
    <col min="8" max="8" width="24.375" bestFit="1" customWidth="1"/>
    <col min="9" max="9" width="38.25" bestFit="1" customWidth="1"/>
    <col min="10" max="11" width="10.125" bestFit="1" customWidth="1"/>
  </cols>
  <sheetData>
    <row r="1" spans="1:11" x14ac:dyDescent="0.25">
      <c r="A1" s="209">
        <v>45724</v>
      </c>
      <c r="B1" t="s">
        <v>260</v>
      </c>
      <c r="C1">
        <v>19</v>
      </c>
      <c r="D1">
        <v>23</v>
      </c>
      <c r="E1" t="s">
        <v>261</v>
      </c>
      <c r="F1">
        <v>6</v>
      </c>
      <c r="G1">
        <v>17</v>
      </c>
      <c r="H1" t="s">
        <v>268</v>
      </c>
      <c r="I1" t="s">
        <v>262</v>
      </c>
    </row>
    <row r="2" spans="1:11" x14ac:dyDescent="0.25">
      <c r="A2" s="209">
        <v>45732</v>
      </c>
      <c r="B2" t="s">
        <v>264</v>
      </c>
      <c r="C2">
        <v>12</v>
      </c>
      <c r="D2">
        <v>19</v>
      </c>
      <c r="E2" t="s">
        <v>243</v>
      </c>
      <c r="F2">
        <v>5</v>
      </c>
      <c r="G2">
        <v>5</v>
      </c>
      <c r="H2" t="s">
        <v>263</v>
      </c>
      <c r="I2" t="s">
        <v>265</v>
      </c>
    </row>
    <row r="3" spans="1:11" x14ac:dyDescent="0.25">
      <c r="A3" s="209">
        <v>45738</v>
      </c>
      <c r="B3" t="s">
        <v>35</v>
      </c>
      <c r="C3">
        <v>15</v>
      </c>
      <c r="D3">
        <v>27</v>
      </c>
      <c r="E3" t="s">
        <v>33</v>
      </c>
      <c r="F3">
        <v>5</v>
      </c>
      <c r="G3">
        <v>17</v>
      </c>
      <c r="H3" t="s">
        <v>269</v>
      </c>
      <c r="I3" t="s">
        <v>152</v>
      </c>
    </row>
    <row r="4" spans="1:11" x14ac:dyDescent="0.25">
      <c r="A4" s="209">
        <v>45738</v>
      </c>
      <c r="B4" t="s">
        <v>133</v>
      </c>
      <c r="C4">
        <v>41</v>
      </c>
      <c r="D4">
        <v>12</v>
      </c>
      <c r="E4" t="s">
        <v>243</v>
      </c>
      <c r="F4">
        <v>22</v>
      </c>
      <c r="G4">
        <v>12</v>
      </c>
      <c r="H4" t="s">
        <v>263</v>
      </c>
      <c r="I4" t="s">
        <v>266</v>
      </c>
    </row>
    <row r="5" spans="1:11" x14ac:dyDescent="0.25">
      <c r="A5" s="209">
        <v>45738</v>
      </c>
      <c r="B5" t="s">
        <v>34</v>
      </c>
      <c r="C5">
        <v>24</v>
      </c>
      <c r="D5">
        <v>21</v>
      </c>
      <c r="E5" t="s">
        <v>31</v>
      </c>
      <c r="F5">
        <v>5</v>
      </c>
      <c r="G5">
        <v>17</v>
      </c>
      <c r="H5" t="s">
        <v>269</v>
      </c>
      <c r="I5" t="s">
        <v>126</v>
      </c>
    </row>
    <row r="6" spans="1:11" x14ac:dyDescent="0.25">
      <c r="A6" s="209">
        <v>45738</v>
      </c>
      <c r="B6" t="s">
        <v>30</v>
      </c>
      <c r="C6">
        <v>38</v>
      </c>
      <c r="D6">
        <v>5</v>
      </c>
      <c r="E6" t="s">
        <v>32</v>
      </c>
      <c r="F6">
        <v>33</v>
      </c>
      <c r="G6">
        <v>5</v>
      </c>
      <c r="H6" t="s">
        <v>269</v>
      </c>
      <c r="I6" t="s">
        <v>192</v>
      </c>
    </row>
    <row r="7" spans="1:11" x14ac:dyDescent="0.25">
      <c r="A7" s="209">
        <v>45745</v>
      </c>
      <c r="B7" t="s">
        <v>264</v>
      </c>
      <c r="C7">
        <v>7</v>
      </c>
      <c r="D7">
        <v>19</v>
      </c>
      <c r="E7" t="s">
        <v>133</v>
      </c>
      <c r="F7">
        <v>0</v>
      </c>
      <c r="G7">
        <v>19</v>
      </c>
      <c r="H7" t="s">
        <v>267</v>
      </c>
      <c r="I7" t="s">
        <v>270</v>
      </c>
    </row>
    <row r="8" spans="1:11" x14ac:dyDescent="0.25">
      <c r="A8" s="209">
        <v>45745</v>
      </c>
      <c r="B8" t="s">
        <v>33</v>
      </c>
      <c r="C8">
        <v>38</v>
      </c>
      <c r="D8">
        <v>15</v>
      </c>
      <c r="E8" t="s">
        <v>34</v>
      </c>
      <c r="F8">
        <v>13</v>
      </c>
      <c r="G8">
        <v>7</v>
      </c>
      <c r="H8" t="s">
        <v>273</v>
      </c>
      <c r="I8" t="s">
        <v>194</v>
      </c>
    </row>
    <row r="9" spans="1:11" x14ac:dyDescent="0.25">
      <c r="A9" s="209">
        <v>45745</v>
      </c>
      <c r="B9" s="103" t="s">
        <v>31</v>
      </c>
      <c r="C9" s="110">
        <v>12</v>
      </c>
      <c r="D9" s="322">
        <v>67</v>
      </c>
      <c r="E9" s="103" t="s">
        <v>30</v>
      </c>
      <c r="F9" s="210">
        <v>7</v>
      </c>
      <c r="G9" s="113">
        <v>26</v>
      </c>
      <c r="H9" t="s">
        <v>273</v>
      </c>
      <c r="I9" t="s">
        <v>150</v>
      </c>
      <c r="J9" s="103"/>
      <c r="K9" s="103"/>
    </row>
    <row r="10" spans="1:11" x14ac:dyDescent="0.25">
      <c r="A10" s="209">
        <v>45746</v>
      </c>
      <c r="B10" s="103" t="s">
        <v>32</v>
      </c>
      <c r="C10" s="110">
        <v>12</v>
      </c>
      <c r="D10" s="113">
        <v>54</v>
      </c>
      <c r="E10" s="112" t="s">
        <v>35</v>
      </c>
      <c r="F10" s="210">
        <v>5</v>
      </c>
      <c r="G10" s="113">
        <v>28</v>
      </c>
      <c r="H10" t="s">
        <v>273</v>
      </c>
      <c r="I10" t="s">
        <v>124</v>
      </c>
      <c r="J10" s="103"/>
      <c r="K10" s="103"/>
    </row>
    <row r="11" spans="1:11" x14ac:dyDescent="0.25">
      <c r="A11" s="209">
        <v>45752</v>
      </c>
      <c r="B11" s="103" t="s">
        <v>125</v>
      </c>
      <c r="C11" s="110">
        <v>40</v>
      </c>
      <c r="D11" s="113">
        <v>5</v>
      </c>
      <c r="E11" s="112" t="s">
        <v>264</v>
      </c>
      <c r="F11" s="210">
        <v>7</v>
      </c>
      <c r="G11" s="113">
        <v>0</v>
      </c>
      <c r="H11" t="s">
        <v>267</v>
      </c>
      <c r="I11" t="s">
        <v>285</v>
      </c>
      <c r="J11" s="103"/>
      <c r="K11" s="103"/>
    </row>
    <row r="12" spans="1:11" x14ac:dyDescent="0.25">
      <c r="A12" s="209">
        <v>45752</v>
      </c>
      <c r="B12" s="103" t="s">
        <v>133</v>
      </c>
      <c r="C12" s="110">
        <v>69</v>
      </c>
      <c r="D12" s="113">
        <v>0</v>
      </c>
      <c r="E12" s="112" t="s">
        <v>284</v>
      </c>
      <c r="F12" s="210">
        <v>27</v>
      </c>
      <c r="G12" s="113">
        <v>0</v>
      </c>
      <c r="H12" t="s">
        <v>267</v>
      </c>
      <c r="I12" t="s">
        <v>286</v>
      </c>
      <c r="J12" s="103"/>
      <c r="K12" s="103"/>
    </row>
    <row r="13" spans="1:11" x14ac:dyDescent="0.25">
      <c r="A13" s="209">
        <v>45752</v>
      </c>
      <c r="B13" s="112" t="s">
        <v>261</v>
      </c>
      <c r="C13" s="110">
        <v>44</v>
      </c>
      <c r="D13" s="113">
        <v>13</v>
      </c>
      <c r="E13" s="112" t="s">
        <v>282</v>
      </c>
      <c r="F13" s="210" t="s">
        <v>69</v>
      </c>
      <c r="G13" s="409" t="s">
        <v>69</v>
      </c>
      <c r="H13" t="s">
        <v>268</v>
      </c>
      <c r="I13" t="s">
        <v>283</v>
      </c>
      <c r="J13" s="103"/>
      <c r="K13" s="103"/>
    </row>
    <row r="14" spans="1:11" x14ac:dyDescent="0.25">
      <c r="A14" s="209">
        <v>45759</v>
      </c>
      <c r="B14" s="112" t="s">
        <v>284</v>
      </c>
      <c r="C14" s="110">
        <v>3</v>
      </c>
      <c r="D14" s="113">
        <v>38</v>
      </c>
      <c r="E14" s="112" t="s">
        <v>264</v>
      </c>
      <c r="F14" s="210">
        <v>3</v>
      </c>
      <c r="G14" s="409">
        <v>17</v>
      </c>
      <c r="H14" t="s">
        <v>267</v>
      </c>
      <c r="I14" t="s">
        <v>293</v>
      </c>
      <c r="J14" s="103"/>
      <c r="K14" s="103"/>
    </row>
    <row r="15" spans="1:11" x14ac:dyDescent="0.25">
      <c r="A15" s="209">
        <v>45759</v>
      </c>
      <c r="B15" s="112" t="s">
        <v>33</v>
      </c>
      <c r="C15" s="110">
        <v>42</v>
      </c>
      <c r="D15" s="113">
        <v>12</v>
      </c>
      <c r="E15" s="112" t="s">
        <v>31</v>
      </c>
      <c r="F15" s="210">
        <v>21</v>
      </c>
      <c r="G15" s="113">
        <v>12</v>
      </c>
      <c r="H15" t="s">
        <v>288</v>
      </c>
      <c r="I15" t="s">
        <v>215</v>
      </c>
      <c r="J15" s="103"/>
      <c r="K15" s="103"/>
    </row>
    <row r="16" spans="1:11" x14ac:dyDescent="0.25">
      <c r="A16" s="209">
        <v>45759</v>
      </c>
      <c r="B16" s="112" t="s">
        <v>133</v>
      </c>
      <c r="C16" s="110">
        <v>27</v>
      </c>
      <c r="D16" s="113">
        <v>17</v>
      </c>
      <c r="E16" s="112" t="s">
        <v>125</v>
      </c>
      <c r="F16" s="210">
        <v>14</v>
      </c>
      <c r="G16" s="113">
        <v>12</v>
      </c>
      <c r="H16" t="s">
        <v>267</v>
      </c>
      <c r="I16" t="s">
        <v>266</v>
      </c>
      <c r="J16" s="103"/>
      <c r="K16" s="103"/>
    </row>
    <row r="17" spans="1:11" x14ac:dyDescent="0.25">
      <c r="A17" s="209">
        <v>45759</v>
      </c>
      <c r="B17" s="112" t="s">
        <v>35</v>
      </c>
      <c r="C17" s="110">
        <v>5</v>
      </c>
      <c r="D17" s="113">
        <v>49</v>
      </c>
      <c r="E17" s="112" t="s">
        <v>30</v>
      </c>
      <c r="F17" s="210">
        <v>5</v>
      </c>
      <c r="G17" s="113">
        <v>7</v>
      </c>
      <c r="H17" t="s">
        <v>288</v>
      </c>
      <c r="I17" t="s">
        <v>140</v>
      </c>
      <c r="J17" s="103"/>
      <c r="K17" s="103"/>
    </row>
    <row r="18" spans="1:11" x14ac:dyDescent="0.25">
      <c r="A18" s="209">
        <v>45760</v>
      </c>
      <c r="B18" s="103" t="s">
        <v>34</v>
      </c>
      <c r="C18" s="210">
        <v>17</v>
      </c>
      <c r="D18" s="211">
        <v>25</v>
      </c>
      <c r="E18" s="112" t="s">
        <v>32</v>
      </c>
      <c r="F18" s="210">
        <v>7</v>
      </c>
      <c r="G18" s="113">
        <v>10</v>
      </c>
      <c r="H18" t="s">
        <v>288</v>
      </c>
      <c r="I18" t="s">
        <v>126</v>
      </c>
      <c r="J18" s="103"/>
      <c r="K18" s="103"/>
    </row>
    <row r="19" spans="1:11" x14ac:dyDescent="0.25">
      <c r="A19" s="209">
        <v>45766</v>
      </c>
      <c r="B19" s="103" t="s">
        <v>32</v>
      </c>
      <c r="C19" s="110">
        <v>21</v>
      </c>
      <c r="D19" s="113">
        <v>34</v>
      </c>
      <c r="E19" s="112" t="s">
        <v>33</v>
      </c>
      <c r="F19" s="210">
        <v>21</v>
      </c>
      <c r="G19" s="113">
        <v>12</v>
      </c>
      <c r="H19" t="s">
        <v>296</v>
      </c>
      <c r="I19" t="s">
        <v>124</v>
      </c>
      <c r="J19" s="103"/>
      <c r="K19" s="103"/>
    </row>
    <row r="20" spans="1:11" x14ac:dyDescent="0.25">
      <c r="A20" s="209">
        <v>45766</v>
      </c>
      <c r="B20" s="112" t="s">
        <v>30</v>
      </c>
      <c r="C20" s="210">
        <v>59</v>
      </c>
      <c r="D20" s="211">
        <v>7</v>
      </c>
      <c r="E20" s="112" t="s">
        <v>34</v>
      </c>
      <c r="F20" s="210">
        <v>42</v>
      </c>
      <c r="G20" s="113">
        <v>0</v>
      </c>
      <c r="H20" t="s">
        <v>296</v>
      </c>
      <c r="I20" t="s">
        <v>297</v>
      </c>
      <c r="J20" s="103"/>
      <c r="K20" s="103"/>
    </row>
    <row r="21" spans="1:11" x14ac:dyDescent="0.25">
      <c r="A21" s="209">
        <v>45766</v>
      </c>
      <c r="B21" s="112" t="s">
        <v>284</v>
      </c>
      <c r="C21" s="210">
        <v>3</v>
      </c>
      <c r="D21" s="211">
        <v>90</v>
      </c>
      <c r="E21" s="112" t="s">
        <v>125</v>
      </c>
      <c r="F21" s="210">
        <v>0</v>
      </c>
      <c r="G21" s="113">
        <v>57</v>
      </c>
      <c r="H21" t="s">
        <v>267</v>
      </c>
      <c r="I21" t="s">
        <v>293</v>
      </c>
      <c r="J21" s="103"/>
      <c r="K21" s="103"/>
    </row>
    <row r="22" spans="1:11" x14ac:dyDescent="0.25">
      <c r="A22" s="209">
        <v>45766</v>
      </c>
      <c r="B22" s="112" t="s">
        <v>133</v>
      </c>
      <c r="C22" s="210">
        <v>26</v>
      </c>
      <c r="D22" s="211">
        <v>48</v>
      </c>
      <c r="E22" s="112" t="s">
        <v>307</v>
      </c>
      <c r="F22" s="210">
        <v>5</v>
      </c>
      <c r="G22" s="113">
        <v>31</v>
      </c>
      <c r="H22" t="s">
        <v>263</v>
      </c>
      <c r="I22" t="s">
        <v>308</v>
      </c>
      <c r="J22" s="103"/>
      <c r="K22" s="103"/>
    </row>
    <row r="23" spans="1:11" x14ac:dyDescent="0.25">
      <c r="A23" s="209">
        <v>45767</v>
      </c>
      <c r="B23" s="112" t="s">
        <v>31</v>
      </c>
      <c r="C23" s="210">
        <v>14</v>
      </c>
      <c r="D23" s="211">
        <v>40</v>
      </c>
      <c r="E23" s="112" t="s">
        <v>35</v>
      </c>
      <c r="F23" s="210">
        <v>7</v>
      </c>
      <c r="G23" s="113">
        <v>21</v>
      </c>
      <c r="H23" t="s">
        <v>296</v>
      </c>
      <c r="I23" t="s">
        <v>181</v>
      </c>
      <c r="J23" s="103"/>
      <c r="K23" s="103"/>
    </row>
    <row r="24" spans="1:11" x14ac:dyDescent="0.25">
      <c r="A24" s="209">
        <v>45773</v>
      </c>
      <c r="B24" s="112" t="s">
        <v>34</v>
      </c>
      <c r="C24" s="210">
        <v>26</v>
      </c>
      <c r="D24" s="211">
        <v>19</v>
      </c>
      <c r="E24" s="112" t="s">
        <v>35</v>
      </c>
      <c r="F24" s="210">
        <v>12</v>
      </c>
      <c r="G24" s="113">
        <v>7</v>
      </c>
      <c r="H24" t="s">
        <v>319</v>
      </c>
      <c r="I24" t="s">
        <v>126</v>
      </c>
      <c r="J24" s="103"/>
      <c r="K24" s="103"/>
    </row>
    <row r="25" spans="1:11" x14ac:dyDescent="0.25">
      <c r="A25" s="209">
        <v>45773</v>
      </c>
      <c r="B25" s="112" t="s">
        <v>30</v>
      </c>
      <c r="C25" s="210">
        <v>43</v>
      </c>
      <c r="D25" s="211">
        <v>42</v>
      </c>
      <c r="E25" s="112" t="s">
        <v>33</v>
      </c>
      <c r="F25" s="210">
        <v>31</v>
      </c>
      <c r="G25" s="113">
        <v>21</v>
      </c>
      <c r="H25" t="s">
        <v>319</v>
      </c>
      <c r="I25" t="s">
        <v>176</v>
      </c>
      <c r="J25" s="103"/>
      <c r="K25" s="103"/>
    </row>
    <row r="26" spans="1:11" x14ac:dyDescent="0.25">
      <c r="A26" s="209">
        <v>45774</v>
      </c>
      <c r="B26" s="112" t="s">
        <v>32</v>
      </c>
      <c r="C26" s="210">
        <v>44</v>
      </c>
      <c r="D26" s="211">
        <v>12</v>
      </c>
      <c r="E26" s="112" t="s">
        <v>31</v>
      </c>
      <c r="F26" s="210">
        <v>10</v>
      </c>
      <c r="G26" s="113">
        <v>12</v>
      </c>
      <c r="H26" t="s">
        <v>319</v>
      </c>
      <c r="I26" t="s">
        <v>124</v>
      </c>
      <c r="J26" s="103"/>
      <c r="K26" s="103"/>
    </row>
    <row r="27" spans="1:11" x14ac:dyDescent="0.25">
      <c r="A27" s="209">
        <v>45774</v>
      </c>
      <c r="B27" s="112" t="s">
        <v>55</v>
      </c>
      <c r="C27" s="210">
        <v>33</v>
      </c>
      <c r="D27" s="211">
        <v>39</v>
      </c>
      <c r="E27" s="112" t="s">
        <v>99</v>
      </c>
      <c r="F27" s="210">
        <v>21</v>
      </c>
      <c r="G27" s="113">
        <v>19</v>
      </c>
      <c r="H27" t="s">
        <v>263</v>
      </c>
      <c r="I27" t="s">
        <v>335</v>
      </c>
      <c r="J27" s="103"/>
      <c r="K27" s="103"/>
    </row>
    <row r="28" spans="1:11" x14ac:dyDescent="0.25">
      <c r="A28" s="209">
        <v>45780</v>
      </c>
      <c r="B28" s="112" t="s">
        <v>166</v>
      </c>
      <c r="C28" s="210">
        <v>7</v>
      </c>
      <c r="D28" s="211">
        <v>43</v>
      </c>
      <c r="E28" s="112" t="s">
        <v>29</v>
      </c>
      <c r="F28" s="210">
        <v>7</v>
      </c>
      <c r="G28" s="113">
        <v>31</v>
      </c>
      <c r="H28" s="112" t="s">
        <v>263</v>
      </c>
      <c r="I28" t="s">
        <v>343</v>
      </c>
      <c r="J28" s="103"/>
      <c r="K28" s="103"/>
    </row>
    <row r="29" spans="1:11" x14ac:dyDescent="0.25">
      <c r="A29" s="209">
        <v>45780</v>
      </c>
      <c r="B29" s="112" t="s">
        <v>55</v>
      </c>
      <c r="C29" s="210">
        <v>14</v>
      </c>
      <c r="D29" s="211">
        <v>26</v>
      </c>
      <c r="E29" s="112" t="s">
        <v>36</v>
      </c>
      <c r="F29" s="210">
        <v>7</v>
      </c>
      <c r="G29" s="113">
        <v>14</v>
      </c>
      <c r="H29" s="112" t="s">
        <v>366</v>
      </c>
      <c r="I29" t="s">
        <v>353</v>
      </c>
      <c r="J29" s="103"/>
      <c r="K29" s="103"/>
    </row>
    <row r="30" spans="1:11" x14ac:dyDescent="0.25">
      <c r="A30" s="209">
        <v>45787</v>
      </c>
      <c r="B30" s="112" t="s">
        <v>29</v>
      </c>
      <c r="C30" s="210">
        <v>12</v>
      </c>
      <c r="D30" s="211">
        <v>38</v>
      </c>
      <c r="E30" s="112" t="s">
        <v>157</v>
      </c>
      <c r="F30" s="210">
        <v>0</v>
      </c>
      <c r="G30" s="113">
        <v>19</v>
      </c>
      <c r="H30" s="112" t="s">
        <v>366</v>
      </c>
      <c r="I30" t="s">
        <v>367</v>
      </c>
      <c r="J30" s="103"/>
      <c r="K30" s="103"/>
    </row>
    <row r="31" spans="1:11" x14ac:dyDescent="0.25">
      <c r="A31" s="209">
        <v>45787</v>
      </c>
      <c r="B31" s="112" t="s">
        <v>355</v>
      </c>
      <c r="C31" s="210">
        <v>0</v>
      </c>
      <c r="D31" s="211">
        <v>27</v>
      </c>
      <c r="E31" s="112" t="s">
        <v>356</v>
      </c>
      <c r="F31" s="210">
        <v>0</v>
      </c>
      <c r="G31" s="113">
        <v>15</v>
      </c>
      <c r="H31" t="s">
        <v>357</v>
      </c>
      <c r="I31" t="s">
        <v>358</v>
      </c>
      <c r="J31" s="103"/>
      <c r="K31" s="103"/>
    </row>
    <row r="32" spans="1:11" x14ac:dyDescent="0.25">
      <c r="A32" s="209">
        <v>45792</v>
      </c>
      <c r="B32" s="112" t="s">
        <v>99</v>
      </c>
      <c r="C32" s="210">
        <v>90</v>
      </c>
      <c r="D32" s="211">
        <v>0</v>
      </c>
      <c r="E32" s="112" t="s">
        <v>167</v>
      </c>
      <c r="F32" s="210">
        <v>31</v>
      </c>
      <c r="G32" s="113">
        <v>0</v>
      </c>
      <c r="H32" s="112" t="s">
        <v>369</v>
      </c>
      <c r="I32" t="s">
        <v>368</v>
      </c>
      <c r="J32" s="103"/>
      <c r="K32" s="103"/>
    </row>
    <row r="33" spans="1:11" x14ac:dyDescent="0.25">
      <c r="A33" s="209">
        <v>45794</v>
      </c>
      <c r="B33" s="112" t="s">
        <v>157</v>
      </c>
      <c r="C33" s="210">
        <v>27</v>
      </c>
      <c r="D33" s="211">
        <v>27</v>
      </c>
      <c r="E33" s="112" t="s">
        <v>36</v>
      </c>
      <c r="F33" s="210">
        <v>12</v>
      </c>
      <c r="G33" s="113">
        <v>12</v>
      </c>
      <c r="H33" s="112" t="s">
        <v>385</v>
      </c>
      <c r="I33" t="s">
        <v>384</v>
      </c>
      <c r="J33" s="103"/>
      <c r="K33" s="103"/>
    </row>
    <row r="34" spans="1:11" x14ac:dyDescent="0.25">
      <c r="A34" s="209">
        <v>45794</v>
      </c>
      <c r="B34" s="112" t="s">
        <v>29</v>
      </c>
      <c r="C34" s="210">
        <v>27</v>
      </c>
      <c r="D34" s="211">
        <v>19</v>
      </c>
      <c r="E34" s="112" t="s">
        <v>55</v>
      </c>
      <c r="F34" s="210">
        <v>19</v>
      </c>
      <c r="G34" s="113">
        <v>14</v>
      </c>
      <c r="H34" s="112" t="s">
        <v>385</v>
      </c>
      <c r="I34" s="112" t="s">
        <v>390</v>
      </c>
      <c r="J34" s="103"/>
      <c r="K34" s="103"/>
    </row>
    <row r="35" spans="1:11" x14ac:dyDescent="0.25">
      <c r="A35" s="209">
        <v>45797</v>
      </c>
      <c r="B35" s="112" t="s">
        <v>167</v>
      </c>
      <c r="C35" s="210">
        <v>12</v>
      </c>
      <c r="D35" s="211">
        <v>29</v>
      </c>
      <c r="E35" s="112" t="s">
        <v>396</v>
      </c>
      <c r="F35" s="210">
        <v>0</v>
      </c>
      <c r="G35" s="113">
        <v>17</v>
      </c>
      <c r="H35" s="112" t="s">
        <v>369</v>
      </c>
      <c r="I35" t="s">
        <v>474</v>
      </c>
      <c r="J35" s="103"/>
      <c r="K35" s="103"/>
    </row>
    <row r="36" spans="1:11" x14ac:dyDescent="0.25">
      <c r="A36" s="209">
        <v>45800</v>
      </c>
      <c r="B36" s="112" t="s">
        <v>29</v>
      </c>
      <c r="C36" s="210">
        <v>7</v>
      </c>
      <c r="D36" s="211">
        <v>45</v>
      </c>
      <c r="E36" s="112" t="s">
        <v>36</v>
      </c>
      <c r="F36" s="210">
        <v>0</v>
      </c>
      <c r="G36" s="113">
        <v>26</v>
      </c>
      <c r="H36" s="112" t="s">
        <v>394</v>
      </c>
      <c r="I36" s="112" t="s">
        <v>402</v>
      </c>
      <c r="J36" s="103"/>
      <c r="K36" s="103"/>
    </row>
    <row r="37" spans="1:11" x14ac:dyDescent="0.25">
      <c r="A37" s="209">
        <v>45801</v>
      </c>
      <c r="B37" s="112" t="s">
        <v>157</v>
      </c>
      <c r="C37" s="210">
        <v>79</v>
      </c>
      <c r="D37" s="211">
        <v>14</v>
      </c>
      <c r="E37" s="112" t="s">
        <v>55</v>
      </c>
      <c r="F37" s="210">
        <v>34</v>
      </c>
      <c r="G37" s="113">
        <v>14</v>
      </c>
      <c r="H37" s="112" t="s">
        <v>394</v>
      </c>
      <c r="I37" s="112" t="s">
        <v>408</v>
      </c>
      <c r="J37" s="103"/>
      <c r="K37" s="103"/>
    </row>
    <row r="38" spans="1:11" x14ac:dyDescent="0.25">
      <c r="A38" s="209">
        <v>45801</v>
      </c>
      <c r="B38" s="112" t="s">
        <v>391</v>
      </c>
      <c r="C38" s="210">
        <v>19</v>
      </c>
      <c r="D38" s="211">
        <v>39</v>
      </c>
      <c r="E38" s="112" t="s">
        <v>392</v>
      </c>
      <c r="F38" s="210">
        <v>5</v>
      </c>
      <c r="G38" s="113">
        <v>27</v>
      </c>
      <c r="H38" s="112" t="s">
        <v>263</v>
      </c>
      <c r="I38" t="s">
        <v>393</v>
      </c>
      <c r="J38" s="103"/>
      <c r="K38" s="103"/>
    </row>
    <row r="39" spans="1:11" x14ac:dyDescent="0.25">
      <c r="A39" s="209">
        <v>45802</v>
      </c>
      <c r="B39" s="112" t="s">
        <v>99</v>
      </c>
      <c r="C39" s="210">
        <v>63</v>
      </c>
      <c r="D39" s="211">
        <v>5</v>
      </c>
      <c r="E39" s="112" t="s">
        <v>396</v>
      </c>
      <c r="F39" s="210">
        <v>29</v>
      </c>
      <c r="G39" s="113">
        <v>0</v>
      </c>
      <c r="H39" s="112" t="s">
        <v>369</v>
      </c>
      <c r="I39" s="112" t="s">
        <v>368</v>
      </c>
      <c r="J39" s="103"/>
      <c r="K39" s="103"/>
    </row>
    <row r="40" spans="1:11" x14ac:dyDescent="0.25">
      <c r="A40" s="209">
        <v>45808</v>
      </c>
      <c r="B40" s="112" t="s">
        <v>391</v>
      </c>
      <c r="C40" s="210">
        <v>71</v>
      </c>
      <c r="D40" s="211">
        <v>7</v>
      </c>
      <c r="E40" s="112" t="s">
        <v>395</v>
      </c>
      <c r="F40" s="210">
        <v>45</v>
      </c>
      <c r="G40" s="113">
        <v>0</v>
      </c>
      <c r="H40" s="112" t="s">
        <v>263</v>
      </c>
      <c r="I40" t="s">
        <v>393</v>
      </c>
      <c r="J40" s="103"/>
      <c r="K40" s="103"/>
    </row>
    <row r="41" spans="1:11" x14ac:dyDescent="0.25">
      <c r="A41" s="209">
        <v>45814</v>
      </c>
      <c r="B41" s="112" t="s">
        <v>166</v>
      </c>
      <c r="C41" s="210">
        <v>59</v>
      </c>
      <c r="D41" s="211">
        <v>5</v>
      </c>
      <c r="E41" s="112" t="s">
        <v>415</v>
      </c>
      <c r="F41" s="210">
        <v>30</v>
      </c>
      <c r="G41" s="113">
        <v>0</v>
      </c>
      <c r="H41" s="112" t="s">
        <v>416</v>
      </c>
      <c r="I41" s="112" t="s">
        <v>417</v>
      </c>
      <c r="J41" s="103"/>
      <c r="K41" s="103"/>
    </row>
    <row r="42" spans="1:11" x14ac:dyDescent="0.25">
      <c r="A42" s="209">
        <v>45815</v>
      </c>
      <c r="B42" s="112" t="s">
        <v>307</v>
      </c>
      <c r="C42" s="210">
        <v>62</v>
      </c>
      <c r="D42" s="211">
        <v>7</v>
      </c>
      <c r="E42" s="112" t="s">
        <v>434</v>
      </c>
      <c r="F42" s="210">
        <v>29</v>
      </c>
      <c r="G42" s="113">
        <v>0</v>
      </c>
      <c r="H42" s="112" t="s">
        <v>463</v>
      </c>
      <c r="I42" s="112" t="s">
        <v>473</v>
      </c>
      <c r="J42" s="103"/>
      <c r="K42" s="103"/>
    </row>
    <row r="43" spans="1:11" x14ac:dyDescent="0.25">
      <c r="A43" s="209">
        <v>45815</v>
      </c>
      <c r="B43" s="112" t="s">
        <v>156</v>
      </c>
      <c r="C43" s="210">
        <v>5</v>
      </c>
      <c r="D43" s="211">
        <v>28</v>
      </c>
      <c r="E43" s="112" t="s">
        <v>442</v>
      </c>
      <c r="F43" s="210">
        <v>5</v>
      </c>
      <c r="G43" s="113">
        <v>12</v>
      </c>
      <c r="H43" s="112" t="s">
        <v>463</v>
      </c>
      <c r="I43" s="112" t="s">
        <v>435</v>
      </c>
      <c r="J43" s="103"/>
      <c r="K43" s="103"/>
    </row>
    <row r="44" spans="1:11" x14ac:dyDescent="0.25">
      <c r="A44" s="209">
        <v>45818</v>
      </c>
      <c r="B44" s="112" t="s">
        <v>98</v>
      </c>
      <c r="C44" s="210">
        <v>64</v>
      </c>
      <c r="D44" s="211">
        <v>14</v>
      </c>
      <c r="E44" s="112" t="s">
        <v>415</v>
      </c>
      <c r="F44" s="210">
        <v>33</v>
      </c>
      <c r="G44" s="113">
        <v>7</v>
      </c>
      <c r="H44" s="112" t="s">
        <v>416</v>
      </c>
      <c r="I44" s="112" t="s">
        <v>462</v>
      </c>
      <c r="J44" s="103"/>
      <c r="K44" s="103"/>
    </row>
    <row r="45" spans="1:11" x14ac:dyDescent="0.25">
      <c r="A45" s="209">
        <v>45819</v>
      </c>
      <c r="B45" s="112" t="s">
        <v>307</v>
      </c>
      <c r="C45" s="210">
        <v>19</v>
      </c>
      <c r="D45" s="211">
        <v>12</v>
      </c>
      <c r="E45" s="112" t="s">
        <v>442</v>
      </c>
      <c r="F45" s="210">
        <v>12</v>
      </c>
      <c r="G45" s="113">
        <v>0</v>
      </c>
      <c r="H45" s="112" t="s">
        <v>468</v>
      </c>
      <c r="I45" s="112" t="s">
        <v>473</v>
      </c>
      <c r="J45" s="103"/>
      <c r="K45" s="103"/>
    </row>
    <row r="46" spans="1:11" x14ac:dyDescent="0.25">
      <c r="A46" s="209">
        <v>45819</v>
      </c>
      <c r="B46" s="112" t="s">
        <v>156</v>
      </c>
      <c r="C46" s="210">
        <v>20</v>
      </c>
      <c r="D46" s="211">
        <v>24</v>
      </c>
      <c r="E46" s="112" t="s">
        <v>434</v>
      </c>
      <c r="F46" s="210">
        <v>10</v>
      </c>
      <c r="G46" s="113">
        <v>12</v>
      </c>
      <c r="H46" s="112" t="s">
        <v>468</v>
      </c>
      <c r="I46" s="112" t="s">
        <v>435</v>
      </c>
      <c r="J46" s="103"/>
      <c r="K46" s="103"/>
    </row>
    <row r="47" spans="1:11" x14ac:dyDescent="0.25">
      <c r="A47" s="209">
        <v>45822</v>
      </c>
      <c r="B47" s="112" t="s">
        <v>166</v>
      </c>
      <c r="C47" s="210">
        <v>24</v>
      </c>
      <c r="D47" s="211">
        <v>20</v>
      </c>
      <c r="E47" s="112" t="s">
        <v>98</v>
      </c>
      <c r="F47" s="210">
        <v>17</v>
      </c>
      <c r="G47" s="113">
        <v>5</v>
      </c>
      <c r="H47" s="112" t="s">
        <v>416</v>
      </c>
      <c r="I47" s="112" t="s">
        <v>417</v>
      </c>
      <c r="J47" s="103"/>
      <c r="K47" s="103"/>
    </row>
    <row r="48" spans="1:11" x14ac:dyDescent="0.25">
      <c r="A48" s="209">
        <v>45822</v>
      </c>
      <c r="B48" s="112" t="s">
        <v>243</v>
      </c>
      <c r="C48" s="210">
        <v>58</v>
      </c>
      <c r="D48" s="211">
        <v>7</v>
      </c>
      <c r="E48" s="112" t="s">
        <v>446</v>
      </c>
      <c r="F48" s="210">
        <v>39</v>
      </c>
      <c r="G48" s="113">
        <v>0</v>
      </c>
      <c r="H48" s="112" t="s">
        <v>263</v>
      </c>
      <c r="I48" t="s">
        <v>460</v>
      </c>
      <c r="J48" s="103"/>
      <c r="K48" s="103"/>
    </row>
    <row r="49" spans="1:11" x14ac:dyDescent="0.25">
      <c r="A49" s="209">
        <v>45823</v>
      </c>
      <c r="B49" s="112" t="s">
        <v>442</v>
      </c>
      <c r="C49" s="210">
        <v>47</v>
      </c>
      <c r="D49" s="211">
        <v>0</v>
      </c>
      <c r="E49" s="112" t="s">
        <v>434</v>
      </c>
      <c r="F49" s="210">
        <v>20</v>
      </c>
      <c r="G49" s="113">
        <v>0</v>
      </c>
      <c r="H49" s="112" t="s">
        <v>469</v>
      </c>
      <c r="I49" s="112" t="s">
        <v>473</v>
      </c>
      <c r="J49" s="103"/>
      <c r="K49" s="103"/>
    </row>
    <row r="50" spans="1:11" x14ac:dyDescent="0.25">
      <c r="A50" s="209">
        <v>45823</v>
      </c>
      <c r="B50" s="112" t="s">
        <v>156</v>
      </c>
      <c r="C50" s="210">
        <v>17</v>
      </c>
      <c r="D50" s="211">
        <v>61</v>
      </c>
      <c r="E50" s="112" t="s">
        <v>307</v>
      </c>
      <c r="F50" s="210">
        <v>0</v>
      </c>
      <c r="G50" s="113">
        <v>35</v>
      </c>
      <c r="H50" s="112" t="s">
        <v>469</v>
      </c>
      <c r="I50" s="112" t="s">
        <v>435</v>
      </c>
      <c r="J50" s="103"/>
      <c r="K50" s="103"/>
    </row>
    <row r="51" spans="1:11" x14ac:dyDescent="0.25">
      <c r="A51" s="209">
        <v>45836</v>
      </c>
      <c r="B51" s="112" t="s">
        <v>395</v>
      </c>
      <c r="C51" s="210">
        <v>18</v>
      </c>
      <c r="D51" s="211">
        <v>16</v>
      </c>
      <c r="E51" s="112" t="s">
        <v>392</v>
      </c>
      <c r="F51" s="210">
        <v>8</v>
      </c>
      <c r="G51" s="113">
        <v>11</v>
      </c>
      <c r="H51" s="112" t="s">
        <v>263</v>
      </c>
      <c r="I51" s="112" t="s">
        <v>475</v>
      </c>
      <c r="J51" s="103"/>
      <c r="K51" s="103"/>
    </row>
    <row r="52" spans="1:11" x14ac:dyDescent="0.25">
      <c r="A52" s="209">
        <v>45843</v>
      </c>
      <c r="B52" s="112" t="s">
        <v>307</v>
      </c>
      <c r="C52" s="210">
        <v>20</v>
      </c>
      <c r="D52" s="211">
        <v>50</v>
      </c>
      <c r="E52" s="112" t="s">
        <v>36</v>
      </c>
      <c r="F52" s="210">
        <v>3</v>
      </c>
      <c r="G52" s="113">
        <v>26</v>
      </c>
      <c r="H52" s="112" t="s">
        <v>495</v>
      </c>
      <c r="I52" s="112" t="s">
        <v>482</v>
      </c>
      <c r="J52" s="103"/>
      <c r="K52" s="103"/>
    </row>
    <row r="53" spans="1:11" x14ac:dyDescent="0.25">
      <c r="A53" s="209">
        <v>45850</v>
      </c>
      <c r="B53" s="112" t="s">
        <v>157</v>
      </c>
      <c r="C53" s="210">
        <v>37</v>
      </c>
      <c r="D53" s="211">
        <v>12</v>
      </c>
      <c r="E53" s="112" t="s">
        <v>29</v>
      </c>
      <c r="F53" s="210">
        <v>10</v>
      </c>
      <c r="G53" s="113">
        <v>7</v>
      </c>
      <c r="H53" s="112" t="s">
        <v>488</v>
      </c>
      <c r="I53" s="112" t="s">
        <v>489</v>
      </c>
      <c r="J53" s="103"/>
      <c r="K53" s="103"/>
    </row>
    <row r="54" spans="1:11" x14ac:dyDescent="0.25">
      <c r="A54" s="345">
        <v>45850</v>
      </c>
      <c r="B54" s="308" t="s">
        <v>307</v>
      </c>
      <c r="C54" s="346">
        <v>5</v>
      </c>
      <c r="D54" s="347">
        <v>33</v>
      </c>
      <c r="E54" s="308" t="s">
        <v>36</v>
      </c>
      <c r="F54" s="346">
        <v>0</v>
      </c>
      <c r="G54" s="348">
        <v>14</v>
      </c>
      <c r="H54" s="112" t="s">
        <v>496</v>
      </c>
      <c r="I54" s="303" t="s">
        <v>497</v>
      </c>
      <c r="J54" s="103"/>
      <c r="K54" s="103"/>
    </row>
    <row r="55" spans="1:11" x14ac:dyDescent="0.25">
      <c r="A55" s="345">
        <v>45850</v>
      </c>
      <c r="B55" s="308" t="s">
        <v>243</v>
      </c>
      <c r="C55" s="346">
        <v>5</v>
      </c>
      <c r="D55" s="347">
        <v>33</v>
      </c>
      <c r="E55" s="308" t="s">
        <v>125</v>
      </c>
      <c r="F55" s="346">
        <v>0</v>
      </c>
      <c r="G55" s="348">
        <v>21</v>
      </c>
      <c r="H55" s="112" t="s">
        <v>495</v>
      </c>
      <c r="I55" s="112" t="s">
        <v>500</v>
      </c>
      <c r="J55" s="103"/>
      <c r="K55" s="103"/>
    </row>
    <row r="56" spans="1:11" x14ac:dyDescent="0.25">
      <c r="A56" s="209">
        <v>45857</v>
      </c>
      <c r="B56" s="112" t="s">
        <v>99</v>
      </c>
      <c r="C56" s="210">
        <v>32</v>
      </c>
      <c r="D56" s="211">
        <v>19</v>
      </c>
      <c r="E56" s="112" t="s">
        <v>133</v>
      </c>
      <c r="F56" s="210">
        <v>13</v>
      </c>
      <c r="G56" s="348">
        <v>5</v>
      </c>
      <c r="H56" s="112" t="s">
        <v>495</v>
      </c>
      <c r="I56" s="112" t="s">
        <v>514</v>
      </c>
      <c r="J56" s="103"/>
      <c r="K56" s="103"/>
    </row>
    <row r="57" spans="1:11" x14ac:dyDescent="0.25">
      <c r="A57" s="345">
        <v>45857</v>
      </c>
      <c r="B57" s="308" t="s">
        <v>243</v>
      </c>
      <c r="C57" s="346">
        <v>22</v>
      </c>
      <c r="D57" s="347">
        <v>0</v>
      </c>
      <c r="E57" s="308" t="s">
        <v>125</v>
      </c>
      <c r="F57" s="346">
        <v>5</v>
      </c>
      <c r="G57" s="348">
        <v>0</v>
      </c>
      <c r="H57" s="112" t="s">
        <v>496</v>
      </c>
      <c r="I57" s="303" t="s">
        <v>460</v>
      </c>
      <c r="J57" s="103"/>
      <c r="K57" s="103"/>
    </row>
    <row r="58" spans="1:11" x14ac:dyDescent="0.25">
      <c r="A58" s="345">
        <v>45857</v>
      </c>
      <c r="B58" s="308" t="s">
        <v>55</v>
      </c>
      <c r="C58" s="346">
        <v>31</v>
      </c>
      <c r="D58" s="347">
        <v>24</v>
      </c>
      <c r="E58" s="308" t="s">
        <v>166</v>
      </c>
      <c r="F58" s="346">
        <v>26</v>
      </c>
      <c r="G58" s="348">
        <v>14</v>
      </c>
      <c r="H58" s="112" t="s">
        <v>263</v>
      </c>
      <c r="I58" t="s">
        <v>521</v>
      </c>
      <c r="J58" s="103"/>
      <c r="K58" s="103"/>
    </row>
    <row r="59" spans="1:11" x14ac:dyDescent="0.25">
      <c r="A59" s="345">
        <v>45863</v>
      </c>
      <c r="B59" s="308" t="s">
        <v>32</v>
      </c>
      <c r="C59" s="346">
        <v>34</v>
      </c>
      <c r="D59" s="347">
        <v>29</v>
      </c>
      <c r="E59" s="308" t="s">
        <v>34</v>
      </c>
      <c r="F59" s="346">
        <v>20</v>
      </c>
      <c r="G59" s="348">
        <v>5</v>
      </c>
      <c r="H59" s="112" t="s">
        <v>263</v>
      </c>
      <c r="I59" t="s">
        <v>525</v>
      </c>
      <c r="J59" s="103"/>
      <c r="K59" s="103"/>
    </row>
    <row r="60" spans="1:11" x14ac:dyDescent="0.25">
      <c r="A60" s="209">
        <v>45864</v>
      </c>
      <c r="B60" s="112" t="s">
        <v>29</v>
      </c>
      <c r="C60" s="210">
        <v>12</v>
      </c>
      <c r="D60" s="211">
        <v>21</v>
      </c>
      <c r="E60" s="112" t="s">
        <v>31</v>
      </c>
      <c r="F60" s="210">
        <v>12</v>
      </c>
      <c r="G60" s="348">
        <v>14</v>
      </c>
      <c r="H60" s="112" t="s">
        <v>495</v>
      </c>
      <c r="I60" t="s">
        <v>530</v>
      </c>
      <c r="J60" s="103"/>
      <c r="K60" s="103"/>
    </row>
    <row r="61" spans="1:11" x14ac:dyDescent="0.25">
      <c r="A61" s="209">
        <v>45864</v>
      </c>
      <c r="B61" s="112" t="s">
        <v>99</v>
      </c>
      <c r="C61" s="210">
        <v>30</v>
      </c>
      <c r="D61" s="211">
        <v>19</v>
      </c>
      <c r="E61" s="112" t="s">
        <v>133</v>
      </c>
      <c r="F61" s="210">
        <v>10</v>
      </c>
      <c r="G61" s="348">
        <v>0</v>
      </c>
      <c r="H61" s="112" t="s">
        <v>496</v>
      </c>
      <c r="I61" t="s">
        <v>535</v>
      </c>
      <c r="J61" s="103"/>
      <c r="K61" s="103"/>
    </row>
    <row r="62" spans="1:11" x14ac:dyDescent="0.25">
      <c r="A62" s="209">
        <v>45870</v>
      </c>
      <c r="B62" s="112" t="s">
        <v>29</v>
      </c>
      <c r="C62" s="210">
        <v>36</v>
      </c>
      <c r="D62" s="211">
        <v>5</v>
      </c>
      <c r="E62" s="112" t="s">
        <v>31</v>
      </c>
      <c r="F62" s="210">
        <v>21</v>
      </c>
      <c r="G62" s="348">
        <v>5</v>
      </c>
      <c r="H62" s="112" t="s">
        <v>496</v>
      </c>
      <c r="I62" t="s">
        <v>538</v>
      </c>
      <c r="J62" s="103"/>
      <c r="K62" s="103"/>
    </row>
    <row r="63" spans="1:11" x14ac:dyDescent="0.25">
      <c r="A63" s="209">
        <v>45870</v>
      </c>
      <c r="B63" s="112" t="s">
        <v>36</v>
      </c>
      <c r="C63" s="210">
        <v>42</v>
      </c>
      <c r="D63" s="211">
        <v>10</v>
      </c>
      <c r="E63" s="112" t="s">
        <v>55</v>
      </c>
      <c r="F63" s="210">
        <v>14</v>
      </c>
      <c r="G63" s="113">
        <v>10</v>
      </c>
      <c r="H63" s="112" t="s">
        <v>263</v>
      </c>
      <c r="I63" t="s">
        <v>545</v>
      </c>
      <c r="J63" s="103"/>
      <c r="K63" s="103"/>
    </row>
    <row r="64" spans="1:11" x14ac:dyDescent="0.25">
      <c r="A64" s="209">
        <v>45871</v>
      </c>
      <c r="B64" s="112" t="s">
        <v>35</v>
      </c>
      <c r="C64" s="210">
        <v>27</v>
      </c>
      <c r="D64" s="211">
        <v>21</v>
      </c>
      <c r="E64" s="112" t="s">
        <v>34</v>
      </c>
      <c r="F64" s="210">
        <v>12</v>
      </c>
      <c r="G64" s="113">
        <v>14</v>
      </c>
      <c r="H64" s="112" t="s">
        <v>263</v>
      </c>
      <c r="I64" t="s">
        <v>140</v>
      </c>
      <c r="J64" s="103"/>
      <c r="K64" s="103"/>
    </row>
    <row r="65" spans="1:11" x14ac:dyDescent="0.25">
      <c r="A65" s="209">
        <v>45871</v>
      </c>
      <c r="B65" s="112" t="s">
        <v>30</v>
      </c>
      <c r="C65" s="210">
        <v>97</v>
      </c>
      <c r="D65" s="211">
        <v>7</v>
      </c>
      <c r="E65" s="112" t="s">
        <v>133</v>
      </c>
      <c r="F65" s="210">
        <v>43</v>
      </c>
      <c r="G65" s="113">
        <v>0</v>
      </c>
      <c r="H65" s="112" t="s">
        <v>263</v>
      </c>
      <c r="I65" t="s">
        <v>297</v>
      </c>
      <c r="J65" s="103"/>
      <c r="K65" s="103"/>
    </row>
    <row r="66" spans="1:11" x14ac:dyDescent="0.25">
      <c r="A66" s="209">
        <v>45878</v>
      </c>
      <c r="B66" s="112" t="s">
        <v>35</v>
      </c>
      <c r="C66" s="210">
        <v>26</v>
      </c>
      <c r="D66" s="211">
        <v>47</v>
      </c>
      <c r="E66" s="112" t="s">
        <v>36</v>
      </c>
      <c r="F66" s="210">
        <v>7</v>
      </c>
      <c r="G66" s="113">
        <v>33</v>
      </c>
      <c r="H66" s="112" t="s">
        <v>263</v>
      </c>
      <c r="I66" t="s">
        <v>565</v>
      </c>
      <c r="J66" s="103"/>
      <c r="K66" s="103"/>
    </row>
    <row r="67" spans="1:11" x14ac:dyDescent="0.25">
      <c r="A67" s="209">
        <v>45878</v>
      </c>
      <c r="B67" s="112" t="s">
        <v>32</v>
      </c>
      <c r="C67" s="210">
        <v>33</v>
      </c>
      <c r="D67" s="211">
        <v>15</v>
      </c>
      <c r="E67" s="112" t="s">
        <v>99</v>
      </c>
      <c r="F67" s="210">
        <v>19</v>
      </c>
      <c r="G67" s="113">
        <v>5</v>
      </c>
      <c r="H67" s="112" t="s">
        <v>263</v>
      </c>
      <c r="I67" s="344" t="s">
        <v>585</v>
      </c>
      <c r="J67" s="103"/>
      <c r="K67" s="103"/>
    </row>
    <row r="68" spans="1:11" x14ac:dyDescent="0.25">
      <c r="A68" s="209">
        <v>45878</v>
      </c>
      <c r="B68" s="112" t="s">
        <v>33</v>
      </c>
      <c r="C68" s="210">
        <v>6</v>
      </c>
      <c r="D68" s="211">
        <v>40</v>
      </c>
      <c r="E68" s="112" t="s">
        <v>30</v>
      </c>
      <c r="F68" s="210">
        <v>3</v>
      </c>
      <c r="G68" s="113">
        <v>19</v>
      </c>
      <c r="H68" s="112" t="s">
        <v>263</v>
      </c>
      <c r="I68" t="s">
        <v>591</v>
      </c>
      <c r="J68" s="103"/>
      <c r="K68" s="103"/>
    </row>
    <row r="69" spans="1:11" x14ac:dyDescent="0.25">
      <c r="A69" s="345">
        <v>45891</v>
      </c>
      <c r="B69" s="308" t="s">
        <v>30</v>
      </c>
      <c r="C69" s="346">
        <v>69</v>
      </c>
      <c r="D69" s="347">
        <v>7</v>
      </c>
      <c r="E69" s="308" t="s">
        <v>55</v>
      </c>
      <c r="F69" s="346">
        <v>28</v>
      </c>
      <c r="G69" s="348">
        <v>7</v>
      </c>
      <c r="H69" s="308" t="s">
        <v>662</v>
      </c>
      <c r="I69" s="303" t="s">
        <v>577</v>
      </c>
      <c r="J69" s="103"/>
      <c r="K69" s="103"/>
    </row>
    <row r="70" spans="1:11" x14ac:dyDescent="0.25">
      <c r="A70" s="209">
        <v>45892</v>
      </c>
      <c r="B70" s="112" t="s">
        <v>29</v>
      </c>
      <c r="C70" s="210">
        <v>73</v>
      </c>
      <c r="D70" s="211">
        <v>0</v>
      </c>
      <c r="E70" s="112" t="s">
        <v>98</v>
      </c>
      <c r="F70" s="210">
        <v>45</v>
      </c>
      <c r="G70" s="113">
        <v>0</v>
      </c>
      <c r="H70" s="308" t="s">
        <v>662</v>
      </c>
      <c r="I70" t="s">
        <v>669</v>
      </c>
      <c r="J70" s="103"/>
      <c r="K70" s="103"/>
    </row>
    <row r="71" spans="1:11" x14ac:dyDescent="0.25">
      <c r="A71" s="209">
        <v>45892</v>
      </c>
      <c r="B71" s="112" t="s">
        <v>34</v>
      </c>
      <c r="C71" s="210">
        <v>38</v>
      </c>
      <c r="D71" s="211">
        <v>8</v>
      </c>
      <c r="E71" s="112" t="s">
        <v>31</v>
      </c>
      <c r="F71" s="210">
        <v>17</v>
      </c>
      <c r="G71" s="113">
        <v>8</v>
      </c>
      <c r="H71" s="308" t="s">
        <v>675</v>
      </c>
      <c r="I71" t="s">
        <v>669</v>
      </c>
      <c r="J71" s="103"/>
      <c r="K71" s="103"/>
    </row>
    <row r="72" spans="1:11" x14ac:dyDescent="0.25">
      <c r="A72" s="209">
        <v>45892</v>
      </c>
      <c r="B72" s="112" t="s">
        <v>36</v>
      </c>
      <c r="C72" s="210">
        <v>65</v>
      </c>
      <c r="D72" s="211">
        <v>7</v>
      </c>
      <c r="E72" s="112" t="s">
        <v>166</v>
      </c>
      <c r="F72" s="210">
        <v>24</v>
      </c>
      <c r="G72" s="113">
        <v>0</v>
      </c>
      <c r="H72" s="308" t="s">
        <v>675</v>
      </c>
      <c r="I72" t="s">
        <v>680</v>
      </c>
      <c r="J72" s="103"/>
      <c r="K72" s="103"/>
    </row>
    <row r="73" spans="1:11" x14ac:dyDescent="0.25">
      <c r="A73" s="209">
        <v>45892</v>
      </c>
      <c r="B73" s="103" t="s">
        <v>33</v>
      </c>
      <c r="C73" s="110">
        <v>24</v>
      </c>
      <c r="D73" s="113">
        <v>0</v>
      </c>
      <c r="E73" s="112" t="s">
        <v>32</v>
      </c>
      <c r="F73" s="210">
        <v>10</v>
      </c>
      <c r="G73" s="113">
        <v>0</v>
      </c>
      <c r="H73" s="308" t="s">
        <v>681</v>
      </c>
      <c r="I73" s="303" t="s">
        <v>682</v>
      </c>
      <c r="J73" s="103"/>
      <c r="K73" s="103"/>
    </row>
    <row r="74" spans="1:11" x14ac:dyDescent="0.25">
      <c r="A74" s="209">
        <v>45893</v>
      </c>
      <c r="B74" s="103" t="s">
        <v>35</v>
      </c>
      <c r="C74" s="110">
        <v>42</v>
      </c>
      <c r="D74" s="113">
        <v>14</v>
      </c>
      <c r="E74" s="112" t="s">
        <v>99</v>
      </c>
      <c r="F74" s="210">
        <v>28</v>
      </c>
      <c r="G74" s="113">
        <v>7</v>
      </c>
      <c r="H74" s="308" t="s">
        <v>691</v>
      </c>
      <c r="I74" t="s">
        <v>692</v>
      </c>
      <c r="J74" s="103"/>
      <c r="K74" s="103"/>
    </row>
    <row r="75" spans="1:11" x14ac:dyDescent="0.25">
      <c r="A75" s="209">
        <v>45893</v>
      </c>
      <c r="B75" s="103" t="s">
        <v>307</v>
      </c>
      <c r="C75" s="110">
        <v>66</v>
      </c>
      <c r="D75" s="113">
        <v>6</v>
      </c>
      <c r="E75" s="112" t="s">
        <v>243</v>
      </c>
      <c r="F75" s="210">
        <v>26</v>
      </c>
      <c r="G75" s="113">
        <v>3</v>
      </c>
      <c r="H75" s="308" t="s">
        <v>681</v>
      </c>
      <c r="I75" t="s">
        <v>692</v>
      </c>
      <c r="J75" s="103"/>
      <c r="K75" s="103"/>
    </row>
    <row r="76" spans="1:11" x14ac:dyDescent="0.25">
      <c r="A76" s="209">
        <v>45893</v>
      </c>
      <c r="B76" s="112" t="s">
        <v>157</v>
      </c>
      <c r="C76" s="110">
        <v>54</v>
      </c>
      <c r="D76" s="113">
        <v>8</v>
      </c>
      <c r="E76" s="112" t="s">
        <v>133</v>
      </c>
      <c r="F76" s="298">
        <v>21</v>
      </c>
      <c r="G76" s="112">
        <v>3</v>
      </c>
      <c r="H76" s="308" t="s">
        <v>691</v>
      </c>
      <c r="I76" t="s">
        <v>680</v>
      </c>
      <c r="J76" s="103"/>
      <c r="K76" s="103"/>
    </row>
    <row r="77" spans="1:11" x14ac:dyDescent="0.25">
      <c r="A77" s="209">
        <v>45899</v>
      </c>
      <c r="B77" s="103" t="s">
        <v>36</v>
      </c>
      <c r="C77" s="110">
        <v>42</v>
      </c>
      <c r="D77" s="113">
        <v>0</v>
      </c>
      <c r="E77" s="112" t="s">
        <v>31</v>
      </c>
      <c r="F77" s="210">
        <v>28</v>
      </c>
      <c r="G77" s="113">
        <v>0</v>
      </c>
      <c r="H77" s="308" t="s">
        <v>675</v>
      </c>
      <c r="I77" t="s">
        <v>669</v>
      </c>
      <c r="J77" s="103"/>
      <c r="K77" s="103"/>
    </row>
    <row r="78" spans="1:11" x14ac:dyDescent="0.25">
      <c r="A78" s="209">
        <v>45899</v>
      </c>
      <c r="B78" s="103" t="s">
        <v>34</v>
      </c>
      <c r="C78" s="110">
        <v>29</v>
      </c>
      <c r="D78" s="113">
        <v>15</v>
      </c>
      <c r="E78" s="112" t="s">
        <v>166</v>
      </c>
      <c r="F78" s="210">
        <v>17</v>
      </c>
      <c r="G78" s="113">
        <v>5</v>
      </c>
      <c r="H78" s="308" t="s">
        <v>675</v>
      </c>
      <c r="I78" t="s">
        <v>669</v>
      </c>
      <c r="J78" s="103"/>
      <c r="K78" s="103"/>
    </row>
    <row r="79" spans="1:11" x14ac:dyDescent="0.25">
      <c r="A79" s="209">
        <v>45899</v>
      </c>
      <c r="B79" s="103" t="s">
        <v>30</v>
      </c>
      <c r="C79" s="110">
        <v>92</v>
      </c>
      <c r="D79" s="113">
        <v>3</v>
      </c>
      <c r="E79" s="112" t="s">
        <v>98</v>
      </c>
      <c r="F79" s="210">
        <v>47</v>
      </c>
      <c r="G79" s="113">
        <v>0</v>
      </c>
      <c r="H79" s="308" t="s">
        <v>662</v>
      </c>
      <c r="I79" t="s">
        <v>592</v>
      </c>
      <c r="J79" s="103"/>
      <c r="K79" s="103"/>
    </row>
    <row r="80" spans="1:11" x14ac:dyDescent="0.25">
      <c r="A80" s="209">
        <v>45899</v>
      </c>
      <c r="B80" s="103" t="s">
        <v>55</v>
      </c>
      <c r="C80" s="110">
        <v>31</v>
      </c>
      <c r="D80" s="113">
        <v>31</v>
      </c>
      <c r="E80" s="112" t="s">
        <v>29</v>
      </c>
      <c r="F80" s="210">
        <v>5</v>
      </c>
      <c r="G80" s="113">
        <v>14</v>
      </c>
      <c r="H80" s="308" t="s">
        <v>662</v>
      </c>
      <c r="I80" t="s">
        <v>680</v>
      </c>
      <c r="J80" s="103"/>
      <c r="K80" s="103"/>
    </row>
    <row r="81" spans="1:11" x14ac:dyDescent="0.25">
      <c r="A81" s="209">
        <v>45900</v>
      </c>
      <c r="B81" s="103" t="s">
        <v>35</v>
      </c>
      <c r="C81" s="110">
        <v>43</v>
      </c>
      <c r="D81" s="113">
        <v>27</v>
      </c>
      <c r="E81" s="112" t="s">
        <v>133</v>
      </c>
      <c r="F81" s="210">
        <v>24</v>
      </c>
      <c r="G81" s="113">
        <v>12</v>
      </c>
      <c r="H81" s="308" t="s">
        <v>691</v>
      </c>
      <c r="I81" t="s">
        <v>692</v>
      </c>
      <c r="J81" s="103"/>
      <c r="K81" s="103"/>
    </row>
    <row r="82" spans="1:11" x14ac:dyDescent="0.25">
      <c r="A82" s="209">
        <v>45900</v>
      </c>
      <c r="B82" s="103" t="s">
        <v>32</v>
      </c>
      <c r="C82" s="110">
        <v>24</v>
      </c>
      <c r="D82" s="113">
        <v>29</v>
      </c>
      <c r="E82" s="112" t="s">
        <v>307</v>
      </c>
      <c r="F82" s="210">
        <v>12</v>
      </c>
      <c r="G82" s="113">
        <v>17</v>
      </c>
      <c r="H82" s="308" t="s">
        <v>681</v>
      </c>
      <c r="I82" t="s">
        <v>680</v>
      </c>
      <c r="J82" s="103"/>
      <c r="K82" s="103"/>
    </row>
    <row r="83" spans="1:11" x14ac:dyDescent="0.25">
      <c r="A83" s="209">
        <v>45900</v>
      </c>
      <c r="B83" s="103" t="s">
        <v>157</v>
      </c>
      <c r="C83" s="110">
        <v>62</v>
      </c>
      <c r="D83" s="113">
        <v>19</v>
      </c>
      <c r="E83" s="112" t="s">
        <v>99</v>
      </c>
      <c r="F83" s="210">
        <v>38</v>
      </c>
      <c r="G83" s="113">
        <v>5</v>
      </c>
      <c r="H83" s="308" t="s">
        <v>691</v>
      </c>
      <c r="I83" s="303" t="s">
        <v>682</v>
      </c>
      <c r="J83" s="103"/>
      <c r="K83" s="103"/>
    </row>
    <row r="84" spans="1:11" x14ac:dyDescent="0.25">
      <c r="A84" s="209">
        <v>45900</v>
      </c>
      <c r="B84" s="103" t="s">
        <v>33</v>
      </c>
      <c r="C84" s="110">
        <v>84</v>
      </c>
      <c r="D84" s="113">
        <v>5</v>
      </c>
      <c r="E84" s="112" t="s">
        <v>243</v>
      </c>
      <c r="F84" s="210">
        <v>53</v>
      </c>
      <c r="G84" s="113">
        <v>0</v>
      </c>
      <c r="H84" s="308" t="s">
        <v>681</v>
      </c>
      <c r="I84" s="303" t="s">
        <v>682</v>
      </c>
      <c r="J84" s="103"/>
      <c r="K84" s="103"/>
    </row>
    <row r="85" spans="1:11" x14ac:dyDescent="0.25">
      <c r="A85" s="209">
        <v>45906</v>
      </c>
      <c r="B85" s="103" t="s">
        <v>36</v>
      </c>
      <c r="C85" s="110">
        <v>40</v>
      </c>
      <c r="D85" s="113">
        <v>19</v>
      </c>
      <c r="E85" s="112" t="s">
        <v>34</v>
      </c>
      <c r="F85" s="210">
        <v>19</v>
      </c>
      <c r="G85" s="113">
        <v>5</v>
      </c>
      <c r="H85" s="308" t="s">
        <v>675</v>
      </c>
      <c r="I85" s="303" t="s">
        <v>682</v>
      </c>
      <c r="J85" s="103"/>
      <c r="K85" s="103"/>
    </row>
    <row r="86" spans="1:11" x14ac:dyDescent="0.25">
      <c r="A86" s="209">
        <v>45906</v>
      </c>
      <c r="B86" s="103" t="s">
        <v>55</v>
      </c>
      <c r="C86" s="110">
        <v>60</v>
      </c>
      <c r="D86" s="113">
        <v>0</v>
      </c>
      <c r="E86" s="112" t="s">
        <v>98</v>
      </c>
      <c r="F86" s="210">
        <v>27</v>
      </c>
      <c r="G86" s="113">
        <v>0</v>
      </c>
      <c r="H86" s="308" t="s">
        <v>662</v>
      </c>
      <c r="I86" t="s">
        <v>680</v>
      </c>
      <c r="J86" s="103"/>
      <c r="K86" s="103"/>
    </row>
    <row r="87" spans="1:11" x14ac:dyDescent="0.25">
      <c r="A87" s="209">
        <v>45906</v>
      </c>
      <c r="B87" s="103" t="s">
        <v>31</v>
      </c>
      <c r="C87" s="110">
        <v>25</v>
      </c>
      <c r="D87" s="113">
        <v>28</v>
      </c>
      <c r="E87" s="112" t="s">
        <v>166</v>
      </c>
      <c r="F87" s="210">
        <v>15</v>
      </c>
      <c r="G87" s="113">
        <v>28</v>
      </c>
      <c r="H87" s="308" t="s">
        <v>675</v>
      </c>
      <c r="I87" s="303" t="s">
        <v>682</v>
      </c>
      <c r="J87" s="103"/>
      <c r="K87" s="103"/>
    </row>
    <row r="88" spans="1:11" x14ac:dyDescent="0.25">
      <c r="A88" s="209">
        <v>45906</v>
      </c>
      <c r="B88" s="103" t="s">
        <v>30</v>
      </c>
      <c r="C88" s="110">
        <v>47</v>
      </c>
      <c r="D88" s="113">
        <v>7</v>
      </c>
      <c r="E88" s="112" t="s">
        <v>29</v>
      </c>
      <c r="F88" s="210">
        <v>19</v>
      </c>
      <c r="G88" s="113">
        <v>7</v>
      </c>
      <c r="H88" s="308" t="s">
        <v>662</v>
      </c>
      <c r="I88" s="303" t="s">
        <v>594</v>
      </c>
      <c r="J88" s="103"/>
      <c r="K88" s="103"/>
    </row>
    <row r="89" spans="1:11" x14ac:dyDescent="0.25">
      <c r="A89" s="209">
        <v>45907</v>
      </c>
      <c r="B89" s="103" t="s">
        <v>99</v>
      </c>
      <c r="C89" s="110">
        <v>29</v>
      </c>
      <c r="D89" s="113">
        <v>21</v>
      </c>
      <c r="E89" s="112" t="s">
        <v>133</v>
      </c>
      <c r="F89" s="210">
        <v>5</v>
      </c>
      <c r="G89" s="113">
        <v>14</v>
      </c>
      <c r="H89" s="308" t="s">
        <v>691</v>
      </c>
      <c r="I89" t="s">
        <v>680</v>
      </c>
      <c r="J89" s="103"/>
      <c r="K89" s="103"/>
    </row>
    <row r="90" spans="1:11" x14ac:dyDescent="0.25">
      <c r="A90" s="209">
        <v>45907</v>
      </c>
      <c r="B90" s="371" t="s">
        <v>32</v>
      </c>
      <c r="C90" s="13">
        <v>64</v>
      </c>
      <c r="D90" s="372">
        <v>3</v>
      </c>
      <c r="E90" s="13" t="s">
        <v>243</v>
      </c>
      <c r="F90" s="210">
        <v>30</v>
      </c>
      <c r="G90" s="370">
        <v>3</v>
      </c>
      <c r="H90" s="308" t="s">
        <v>681</v>
      </c>
      <c r="I90" t="s">
        <v>692</v>
      </c>
      <c r="J90" s="103"/>
      <c r="K90" s="103"/>
    </row>
    <row r="91" spans="1:11" x14ac:dyDescent="0.25">
      <c r="A91" s="209">
        <v>45907</v>
      </c>
      <c r="B91" s="371" t="s">
        <v>157</v>
      </c>
      <c r="C91" s="13">
        <v>40</v>
      </c>
      <c r="D91" s="372">
        <v>0</v>
      </c>
      <c r="E91" s="13" t="s">
        <v>35</v>
      </c>
      <c r="F91" s="210">
        <v>19</v>
      </c>
      <c r="G91" s="370">
        <v>0</v>
      </c>
      <c r="H91" s="308" t="s">
        <v>691</v>
      </c>
      <c r="I91" s="303" t="s">
        <v>792</v>
      </c>
      <c r="J91" s="103"/>
      <c r="K91" s="103"/>
    </row>
    <row r="92" spans="1:11" x14ac:dyDescent="0.25">
      <c r="A92" s="209">
        <v>45907</v>
      </c>
      <c r="B92" s="371" t="s">
        <v>33</v>
      </c>
      <c r="C92" s="13">
        <v>57</v>
      </c>
      <c r="D92" s="372">
        <v>10</v>
      </c>
      <c r="E92" s="13" t="s">
        <v>307</v>
      </c>
      <c r="F92" s="210">
        <v>24</v>
      </c>
      <c r="G92" s="370">
        <v>3</v>
      </c>
      <c r="H92" s="308" t="s">
        <v>681</v>
      </c>
      <c r="I92" t="s">
        <v>692</v>
      </c>
      <c r="J92" s="103"/>
      <c r="K92" s="103"/>
    </row>
    <row r="93" spans="1:11" x14ac:dyDescent="0.25">
      <c r="A93" s="209">
        <v>45913</v>
      </c>
      <c r="B93" s="371" t="s">
        <v>157</v>
      </c>
      <c r="C93" s="13">
        <v>46</v>
      </c>
      <c r="D93" s="372">
        <v>17</v>
      </c>
      <c r="E93" s="13" t="s">
        <v>307</v>
      </c>
      <c r="F93" s="210">
        <v>10</v>
      </c>
      <c r="G93" s="370">
        <v>10</v>
      </c>
      <c r="H93" s="308" t="s">
        <v>826</v>
      </c>
      <c r="I93" s="303" t="s">
        <v>682</v>
      </c>
      <c r="J93" s="103"/>
      <c r="K93" s="103"/>
    </row>
    <row r="94" spans="1:11" x14ac:dyDescent="0.25">
      <c r="A94" s="209">
        <v>45913</v>
      </c>
      <c r="B94" s="371" t="s">
        <v>36</v>
      </c>
      <c r="C94" s="13">
        <v>46</v>
      </c>
      <c r="D94" s="372">
        <v>5</v>
      </c>
      <c r="E94" s="13" t="s">
        <v>29</v>
      </c>
      <c r="F94" s="210">
        <v>31</v>
      </c>
      <c r="G94" s="370">
        <v>5</v>
      </c>
      <c r="H94" s="308" t="s">
        <v>826</v>
      </c>
      <c r="I94" s="303" t="s">
        <v>811</v>
      </c>
      <c r="J94" s="103"/>
      <c r="K94" s="103"/>
    </row>
    <row r="95" spans="1:11" x14ac:dyDescent="0.25">
      <c r="A95" s="209">
        <v>45914</v>
      </c>
      <c r="B95" s="371" t="s">
        <v>33</v>
      </c>
      <c r="C95" s="13">
        <v>18</v>
      </c>
      <c r="D95" s="372">
        <v>13</v>
      </c>
      <c r="E95" s="13" t="s">
        <v>35</v>
      </c>
      <c r="F95" s="210">
        <v>0</v>
      </c>
      <c r="G95" s="370">
        <v>13</v>
      </c>
      <c r="H95" s="308" t="s">
        <v>826</v>
      </c>
      <c r="I95" s="303" t="s">
        <v>682</v>
      </c>
      <c r="J95" s="103"/>
      <c r="K95" s="103"/>
    </row>
    <row r="96" spans="1:11" x14ac:dyDescent="0.25">
      <c r="A96" s="209">
        <v>45914</v>
      </c>
      <c r="B96" s="371" t="s">
        <v>30</v>
      </c>
      <c r="C96" s="13">
        <v>40</v>
      </c>
      <c r="D96" s="372">
        <v>8</v>
      </c>
      <c r="E96" s="13" t="s">
        <v>34</v>
      </c>
      <c r="F96" s="210">
        <v>26</v>
      </c>
      <c r="G96" s="370">
        <v>3</v>
      </c>
      <c r="H96" s="308" t="s">
        <v>826</v>
      </c>
      <c r="I96" s="303" t="s">
        <v>598</v>
      </c>
      <c r="J96" s="103"/>
      <c r="K96" s="103"/>
    </row>
    <row r="97" spans="1:11" x14ac:dyDescent="0.25">
      <c r="A97" s="209">
        <v>45919</v>
      </c>
      <c r="B97" s="371" t="s">
        <v>157</v>
      </c>
      <c r="C97" s="13">
        <v>19</v>
      </c>
      <c r="D97" s="372">
        <v>34</v>
      </c>
      <c r="E97" s="13" t="s">
        <v>36</v>
      </c>
      <c r="F97" s="210">
        <v>7</v>
      </c>
      <c r="G97" s="370">
        <v>24</v>
      </c>
      <c r="H97" s="308" t="s">
        <v>827</v>
      </c>
      <c r="I97" s="303" t="s">
        <v>828</v>
      </c>
      <c r="J97" s="103"/>
      <c r="K97" s="103"/>
    </row>
    <row r="98" spans="1:11" x14ac:dyDescent="0.25">
      <c r="A98" s="209">
        <v>45920</v>
      </c>
      <c r="B98" s="371" t="s">
        <v>356</v>
      </c>
      <c r="C98" s="13">
        <v>15</v>
      </c>
      <c r="D98" s="372">
        <v>15</v>
      </c>
      <c r="E98" s="13" t="s">
        <v>831</v>
      </c>
      <c r="F98" s="210">
        <v>10</v>
      </c>
      <c r="G98" s="370">
        <v>5</v>
      </c>
      <c r="H98" s="308" t="s">
        <v>263</v>
      </c>
      <c r="I98" s="303" t="s">
        <v>832</v>
      </c>
      <c r="J98" s="103"/>
      <c r="K98" s="103"/>
    </row>
    <row r="99" spans="1:11" x14ac:dyDescent="0.25">
      <c r="A99" s="209">
        <v>45920</v>
      </c>
      <c r="B99" s="371" t="s">
        <v>30</v>
      </c>
      <c r="C99" s="13">
        <v>35</v>
      </c>
      <c r="D99" s="372">
        <v>17</v>
      </c>
      <c r="E99" s="13" t="s">
        <v>33</v>
      </c>
      <c r="F99" s="210">
        <v>7</v>
      </c>
      <c r="G99" s="370">
        <v>5</v>
      </c>
      <c r="H99" s="308" t="s">
        <v>827</v>
      </c>
      <c r="I99" s="303" t="s">
        <v>598</v>
      </c>
      <c r="J99" s="103"/>
      <c r="K99" s="103"/>
    </row>
    <row r="100" spans="1:11" x14ac:dyDescent="0.25">
      <c r="A100" s="209">
        <v>45927</v>
      </c>
      <c r="B100" s="13" t="s">
        <v>157</v>
      </c>
      <c r="C100" s="13">
        <v>42</v>
      </c>
      <c r="D100" s="372">
        <v>26</v>
      </c>
      <c r="E100" s="13" t="s">
        <v>33</v>
      </c>
      <c r="F100" s="210">
        <v>26</v>
      </c>
      <c r="G100" s="370">
        <v>7</v>
      </c>
      <c r="H100" s="308" t="s">
        <v>834</v>
      </c>
      <c r="I100" s="303" t="s">
        <v>835</v>
      </c>
      <c r="J100" s="103"/>
      <c r="K100" s="103"/>
    </row>
    <row r="101" spans="1:11" x14ac:dyDescent="0.25">
      <c r="A101" s="209">
        <v>45927</v>
      </c>
      <c r="B101" s="13" t="s">
        <v>30</v>
      </c>
      <c r="C101" s="13">
        <v>33</v>
      </c>
      <c r="D101" s="372">
        <v>13</v>
      </c>
      <c r="E101" s="13" t="s">
        <v>36</v>
      </c>
      <c r="F101" s="210">
        <v>8</v>
      </c>
      <c r="G101" s="370">
        <v>21</v>
      </c>
      <c r="H101" s="308" t="s">
        <v>841</v>
      </c>
      <c r="I101" s="303" t="s">
        <v>176</v>
      </c>
      <c r="J101" s="103"/>
      <c r="K101" s="103"/>
    </row>
    <row r="102" spans="1:11" x14ac:dyDescent="0.25">
      <c r="A102" s="209">
        <v>45962</v>
      </c>
      <c r="B102" s="13" t="s">
        <v>831</v>
      </c>
      <c r="C102" s="13">
        <v>39</v>
      </c>
      <c r="D102" s="372">
        <v>7</v>
      </c>
      <c r="E102" s="13" t="s">
        <v>355</v>
      </c>
      <c r="F102" s="210">
        <v>22</v>
      </c>
      <c r="G102" s="370">
        <v>7</v>
      </c>
      <c r="H102" s="308" t="s">
        <v>263</v>
      </c>
      <c r="I102" s="303" t="s">
        <v>842</v>
      </c>
      <c r="J102" s="103"/>
      <c r="K102" s="103"/>
    </row>
    <row r="103" spans="1:11" x14ac:dyDescent="0.25">
      <c r="A103" s="209">
        <v>45969</v>
      </c>
      <c r="B103" s="13" t="s">
        <v>446</v>
      </c>
      <c r="C103" s="13">
        <v>65</v>
      </c>
      <c r="D103" s="372">
        <v>5</v>
      </c>
      <c r="E103" s="13" t="s">
        <v>392</v>
      </c>
      <c r="F103" s="210">
        <v>0</v>
      </c>
      <c r="G103" s="370">
        <v>39</v>
      </c>
      <c r="H103" s="308" t="s">
        <v>263</v>
      </c>
      <c r="I103" s="303" t="s">
        <v>843</v>
      </c>
      <c r="J103" s="103"/>
      <c r="K103" s="103"/>
    </row>
    <row r="104" spans="1:11" x14ac:dyDescent="0.25">
      <c r="A104" s="209">
        <v>45976</v>
      </c>
      <c r="B104" s="13" t="s">
        <v>260</v>
      </c>
      <c r="C104" s="13">
        <v>10</v>
      </c>
      <c r="D104" s="372">
        <v>12</v>
      </c>
      <c r="E104" s="13" t="s">
        <v>396</v>
      </c>
      <c r="F104" s="210">
        <v>0</v>
      </c>
      <c r="G104" s="370">
        <v>0</v>
      </c>
      <c r="H104" s="308" t="s">
        <v>263</v>
      </c>
      <c r="I104" s="303" t="s">
        <v>262</v>
      </c>
      <c r="J104" s="103"/>
      <c r="K104" s="103"/>
    </row>
    <row r="105" spans="1:11" x14ac:dyDescent="0.25">
      <c r="A105" s="209">
        <v>45980</v>
      </c>
      <c r="B105" s="13" t="s">
        <v>260</v>
      </c>
      <c r="C105" s="13">
        <v>0</v>
      </c>
      <c r="D105" s="372">
        <v>23</v>
      </c>
      <c r="E105" s="13" t="s">
        <v>261</v>
      </c>
      <c r="F105" s="210">
        <v>0</v>
      </c>
      <c r="G105" s="904" t="s">
        <v>69</v>
      </c>
      <c r="H105" s="308" t="s">
        <v>263</v>
      </c>
      <c r="I105" s="303" t="s">
        <v>262</v>
      </c>
      <c r="J105" s="103"/>
      <c r="K105" s="103"/>
    </row>
    <row r="106" spans="1:11" x14ac:dyDescent="0.25">
      <c r="A106" s="209">
        <v>45983</v>
      </c>
      <c r="B106" s="13" t="s">
        <v>396</v>
      </c>
      <c r="C106" s="13">
        <v>15</v>
      </c>
      <c r="D106" s="372">
        <v>7</v>
      </c>
      <c r="E106" s="13" t="s">
        <v>261</v>
      </c>
      <c r="F106" s="210">
        <v>0</v>
      </c>
      <c r="G106" s="370">
        <v>7</v>
      </c>
      <c r="H106" s="308" t="s">
        <v>263</v>
      </c>
      <c r="I106" s="303" t="s">
        <v>262</v>
      </c>
      <c r="J106" s="103"/>
      <c r="K106" s="103"/>
    </row>
    <row r="107" spans="1:11" x14ac:dyDescent="0.25">
      <c r="A107" s="209"/>
      <c r="B107" s="13"/>
      <c r="C107" s="13"/>
      <c r="D107" s="372"/>
      <c r="E107" s="13"/>
      <c r="F107" s="210"/>
      <c r="G107" s="370"/>
      <c r="H107" s="308"/>
      <c r="I107" s="303"/>
      <c r="J107" s="103"/>
      <c r="K107" s="103"/>
    </row>
    <row r="108" spans="1:11" x14ac:dyDescent="0.25">
      <c r="A108" s="209"/>
      <c r="B108" s="13"/>
      <c r="C108" s="13"/>
      <c r="D108" s="372"/>
      <c r="E108" s="13"/>
      <c r="F108" s="210"/>
      <c r="G108" s="370"/>
      <c r="H108" s="308"/>
      <c r="I108" s="303"/>
      <c r="J108" s="103"/>
      <c r="K108" s="103"/>
    </row>
    <row r="109" spans="1:11" ht="16.3" x14ac:dyDescent="0.3">
      <c r="A109" s="681" t="s">
        <v>28</v>
      </c>
      <c r="B109" s="681"/>
      <c r="C109" s="110"/>
      <c r="D109" s="113"/>
      <c r="E109" s="112"/>
      <c r="F109" s="683" t="s">
        <v>76</v>
      </c>
      <c r="G109" s="683"/>
      <c r="H109" s="112"/>
      <c r="I109" s="303"/>
      <c r="J109" s="103"/>
      <c r="K109" s="103"/>
    </row>
    <row r="110" spans="1:11" x14ac:dyDescent="0.25">
      <c r="A110" s="209"/>
      <c r="B110" s="335"/>
      <c r="C110" s="110"/>
      <c r="D110" s="113"/>
      <c r="E110" s="112"/>
      <c r="F110" s="210"/>
      <c r="G110" s="113"/>
      <c r="H110" s="112"/>
      <c r="I110" s="303"/>
      <c r="J110" s="103"/>
      <c r="K110" s="103"/>
    </row>
    <row r="111" spans="1:11" x14ac:dyDescent="0.25">
      <c r="A111" s="209"/>
      <c r="B111" s="103"/>
      <c r="C111" s="110"/>
      <c r="D111" s="113"/>
      <c r="E111" s="112"/>
      <c r="F111" s="210"/>
      <c r="G111" s="113"/>
      <c r="H111" s="112"/>
      <c r="I111" s="303"/>
      <c r="J111" s="103"/>
      <c r="K111" s="103"/>
    </row>
    <row r="112" spans="1:11" x14ac:dyDescent="0.25">
      <c r="A112" s="209"/>
      <c r="B112" s="335"/>
      <c r="C112" s="110"/>
      <c r="D112" s="113"/>
      <c r="E112" s="112"/>
      <c r="F112" s="210"/>
      <c r="G112" s="113"/>
      <c r="H112" s="112"/>
      <c r="I112" s="303"/>
      <c r="J112" s="103"/>
      <c r="K112" s="103"/>
    </row>
    <row r="113" spans="1:11" x14ac:dyDescent="0.25">
      <c r="A113" s="209"/>
      <c r="B113" s="335"/>
      <c r="C113" s="110"/>
      <c r="D113" s="113"/>
      <c r="E113" s="112"/>
      <c r="F113" s="210"/>
      <c r="G113" s="113"/>
      <c r="H113" s="112"/>
      <c r="I113" s="303"/>
      <c r="J113" s="103"/>
      <c r="K113" s="103"/>
    </row>
    <row r="114" spans="1:11" x14ac:dyDescent="0.25">
      <c r="A114" s="209"/>
      <c r="B114" s="103"/>
      <c r="C114" s="110"/>
      <c r="D114" s="113"/>
      <c r="E114" s="112"/>
      <c r="F114" s="210"/>
      <c r="G114" s="113"/>
      <c r="H114" s="112"/>
      <c r="I114" s="303"/>
      <c r="J114" s="103"/>
      <c r="K114" s="103"/>
    </row>
    <row r="115" spans="1:11" x14ac:dyDescent="0.25">
      <c r="A115" s="209"/>
      <c r="B115" s="103"/>
      <c r="C115" s="110"/>
      <c r="D115" s="113"/>
      <c r="E115" s="112"/>
      <c r="F115" s="210"/>
      <c r="G115" s="113"/>
      <c r="H115" s="112"/>
      <c r="I115" s="303"/>
      <c r="J115" s="103"/>
      <c r="K115" s="103"/>
    </row>
    <row r="116" spans="1:11" x14ac:dyDescent="0.25">
      <c r="A116" s="209"/>
      <c r="B116" s="103"/>
      <c r="C116" s="110"/>
      <c r="D116" s="113"/>
      <c r="E116" s="112"/>
      <c r="F116" s="210"/>
      <c r="G116" s="113"/>
      <c r="H116" s="112"/>
      <c r="I116" s="303"/>
      <c r="J116" s="103"/>
      <c r="K116" s="103"/>
    </row>
    <row r="117" spans="1:11" x14ac:dyDescent="0.25">
      <c r="A117" s="209"/>
      <c r="B117" s="103"/>
      <c r="C117" s="110"/>
      <c r="D117" s="113"/>
      <c r="E117" s="112"/>
      <c r="F117" s="210"/>
      <c r="G117" s="113"/>
      <c r="H117" s="112"/>
      <c r="I117" s="303"/>
      <c r="J117" s="103"/>
      <c r="K117" s="103"/>
    </row>
    <row r="118" spans="1:11" x14ac:dyDescent="0.25">
      <c r="A118" s="209"/>
      <c r="B118" s="103"/>
      <c r="C118" s="110"/>
      <c r="D118" s="113"/>
      <c r="E118" s="112"/>
      <c r="F118" s="210"/>
      <c r="G118" s="113"/>
      <c r="H118" s="112"/>
      <c r="I118" s="303"/>
      <c r="J118" s="103"/>
      <c r="K118" s="103"/>
    </row>
    <row r="119" spans="1:11" x14ac:dyDescent="0.25">
      <c r="A119" s="209"/>
      <c r="B119" s="103"/>
      <c r="C119" s="110"/>
      <c r="D119" s="113"/>
      <c r="E119" s="112"/>
      <c r="F119" s="210"/>
      <c r="G119" s="113"/>
      <c r="H119" s="112"/>
      <c r="I119" s="303"/>
      <c r="J119" s="103"/>
      <c r="K119" s="103"/>
    </row>
    <row r="120" spans="1:11" x14ac:dyDescent="0.25">
      <c r="A120" s="209"/>
      <c r="B120" s="103"/>
      <c r="C120" s="110"/>
      <c r="D120" s="113"/>
      <c r="E120" s="112"/>
      <c r="F120" s="210"/>
      <c r="G120" s="113"/>
      <c r="H120" s="112"/>
      <c r="I120" s="303"/>
      <c r="J120" s="103"/>
      <c r="K120" s="103"/>
    </row>
    <row r="121" spans="1:11" x14ac:dyDescent="0.25">
      <c r="A121" s="209"/>
      <c r="B121" s="112"/>
      <c r="C121" s="110"/>
      <c r="D121" s="113"/>
      <c r="E121" s="112"/>
      <c r="F121" s="210"/>
      <c r="G121" s="113"/>
      <c r="H121" s="112"/>
      <c r="J121" s="103"/>
      <c r="K121" s="103"/>
    </row>
    <row r="122" spans="1:11" x14ac:dyDescent="0.25">
      <c r="A122" s="209"/>
      <c r="B122" s="667"/>
      <c r="C122" s="110"/>
      <c r="D122" s="113"/>
      <c r="E122" s="112"/>
      <c r="F122" s="683"/>
      <c r="G122" s="683"/>
      <c r="H122" s="112"/>
      <c r="J122" s="103"/>
      <c r="K122" s="103"/>
    </row>
    <row r="123" spans="1:11" x14ac:dyDescent="0.25">
      <c r="A123" s="209"/>
      <c r="B123" s="103"/>
      <c r="C123" s="110"/>
      <c r="D123" s="113"/>
      <c r="E123" s="112"/>
      <c r="F123" s="210"/>
      <c r="G123" s="113"/>
      <c r="H123" s="112"/>
      <c r="J123" s="103"/>
      <c r="K123" s="103"/>
    </row>
    <row r="124" spans="1:11" x14ac:dyDescent="0.25">
      <c r="A124" s="209"/>
      <c r="B124" s="103"/>
      <c r="C124" s="110"/>
      <c r="D124" s="113"/>
      <c r="E124" s="112"/>
      <c r="F124" s="210"/>
      <c r="G124" s="113"/>
      <c r="H124" s="112"/>
      <c r="J124" s="103"/>
      <c r="K124" s="103"/>
    </row>
    <row r="125" spans="1:11" x14ac:dyDescent="0.25">
      <c r="A125" s="209"/>
      <c r="B125" s="103"/>
      <c r="C125" s="110"/>
      <c r="D125" s="113"/>
      <c r="E125" s="112"/>
      <c r="F125" s="210"/>
      <c r="G125" s="113"/>
      <c r="H125" s="112"/>
      <c r="J125" s="103"/>
      <c r="K125" s="103"/>
    </row>
    <row r="126" spans="1:11" x14ac:dyDescent="0.25">
      <c r="A126" s="209"/>
      <c r="B126" s="103"/>
      <c r="C126" s="110"/>
      <c r="D126" s="113"/>
      <c r="E126" s="112"/>
      <c r="F126" s="210"/>
      <c r="G126" s="113"/>
      <c r="H126" s="112"/>
      <c r="J126" s="103"/>
      <c r="K126" s="103"/>
    </row>
    <row r="127" spans="1:11" x14ac:dyDescent="0.25">
      <c r="A127" s="209"/>
      <c r="B127" s="103"/>
      <c r="C127" s="110"/>
      <c r="D127" s="113"/>
      <c r="E127" s="112"/>
      <c r="F127" s="210"/>
      <c r="G127" s="113"/>
      <c r="H127" s="112"/>
      <c r="J127" s="103"/>
      <c r="K127" s="103"/>
    </row>
    <row r="128" spans="1:11" x14ac:dyDescent="0.25">
      <c r="A128" s="209"/>
      <c r="B128" s="103"/>
      <c r="C128" s="110"/>
      <c r="D128" s="113"/>
      <c r="E128" s="112"/>
      <c r="F128" s="210"/>
      <c r="G128" s="113"/>
      <c r="H128" s="112"/>
      <c r="J128" s="103"/>
      <c r="K128" s="103"/>
    </row>
    <row r="129" spans="1:11" x14ac:dyDescent="0.25">
      <c r="A129" s="209"/>
      <c r="B129" s="103"/>
      <c r="C129" s="110"/>
      <c r="D129" s="113"/>
      <c r="E129" s="112"/>
      <c r="F129" s="210"/>
      <c r="G129" s="113"/>
      <c r="H129" s="112"/>
      <c r="J129" s="103"/>
      <c r="K129" s="103"/>
    </row>
    <row r="130" spans="1:11" x14ac:dyDescent="0.25">
      <c r="A130" s="209"/>
      <c r="B130" s="103"/>
      <c r="C130" s="110"/>
      <c r="D130" s="113"/>
      <c r="E130" s="112"/>
      <c r="F130" s="210"/>
      <c r="G130" s="113"/>
      <c r="H130" s="112"/>
      <c r="J130" s="103"/>
      <c r="K130" s="103"/>
    </row>
    <row r="131" spans="1:11" x14ac:dyDescent="0.25">
      <c r="A131" s="209"/>
      <c r="B131" s="103"/>
      <c r="C131" s="110"/>
      <c r="D131" s="113"/>
      <c r="E131" s="112"/>
      <c r="F131" s="210"/>
      <c r="G131" s="113"/>
      <c r="H131" s="112"/>
      <c r="J131" s="103"/>
      <c r="K131" s="103"/>
    </row>
    <row r="132" spans="1:11" x14ac:dyDescent="0.25">
      <c r="A132" s="209"/>
      <c r="B132" s="135"/>
      <c r="C132" s="110"/>
      <c r="D132" s="113"/>
      <c r="E132" s="112"/>
      <c r="F132" s="683"/>
      <c r="G132" s="683"/>
      <c r="H132" s="112"/>
      <c r="J132" s="103"/>
      <c r="K132" s="103"/>
    </row>
    <row r="133" spans="1:11" x14ac:dyDescent="0.25">
      <c r="A133" s="209"/>
      <c r="B133" s="103"/>
      <c r="C133" s="110"/>
      <c r="D133" s="113"/>
      <c r="E133" s="112"/>
      <c r="F133" s="210"/>
      <c r="G133" s="113"/>
      <c r="H133" s="112"/>
      <c r="J133" s="103"/>
      <c r="K133" s="103"/>
    </row>
    <row r="134" spans="1:11" x14ac:dyDescent="0.25">
      <c r="A134" s="209"/>
      <c r="B134" s="103"/>
      <c r="C134" s="110"/>
      <c r="D134" s="113"/>
      <c r="E134" s="112"/>
      <c r="F134" s="210"/>
      <c r="G134" s="113"/>
      <c r="H134" s="112"/>
      <c r="I134" s="303"/>
      <c r="J134" s="103"/>
      <c r="K134" s="103"/>
    </row>
    <row r="135" spans="1:11" x14ac:dyDescent="0.25">
      <c r="A135" s="209"/>
      <c r="B135" s="103"/>
      <c r="C135" s="110"/>
      <c r="D135" s="113"/>
      <c r="E135" s="112"/>
      <c r="F135" s="210"/>
      <c r="G135" s="113"/>
      <c r="H135" s="112"/>
      <c r="J135" s="103"/>
      <c r="K135" s="103"/>
    </row>
    <row r="136" spans="1:11" x14ac:dyDescent="0.25">
      <c r="A136" s="209"/>
      <c r="B136" s="103"/>
      <c r="C136" s="110"/>
      <c r="D136" s="113"/>
      <c r="E136" s="112"/>
      <c r="F136" s="210"/>
      <c r="G136" s="113"/>
      <c r="H136" s="112"/>
      <c r="J136" s="103"/>
      <c r="K136" s="103"/>
    </row>
    <row r="137" spans="1:11" x14ac:dyDescent="0.25">
      <c r="A137" s="209"/>
      <c r="B137" s="103"/>
      <c r="C137" s="110"/>
      <c r="D137" s="113"/>
      <c r="E137" s="112"/>
      <c r="F137" s="210"/>
      <c r="G137" s="113"/>
      <c r="H137" s="112"/>
      <c r="I137" s="308"/>
      <c r="J137" s="103"/>
      <c r="K137" s="103"/>
    </row>
    <row r="138" spans="1:11" x14ac:dyDescent="0.25">
      <c r="A138" s="209"/>
      <c r="B138" s="103"/>
      <c r="C138" s="110"/>
      <c r="D138" s="113"/>
      <c r="E138" s="112"/>
      <c r="F138" s="210"/>
      <c r="G138" s="113"/>
      <c r="H138" s="112"/>
      <c r="I138" s="303"/>
      <c r="J138" s="103"/>
      <c r="K138" s="103"/>
    </row>
    <row r="139" spans="1:11" x14ac:dyDescent="0.25">
      <c r="A139" s="209"/>
      <c r="B139" s="103"/>
      <c r="C139" s="110"/>
      <c r="D139" s="113"/>
      <c r="E139" s="112"/>
      <c r="F139" s="210"/>
      <c r="G139" s="113"/>
      <c r="H139" s="112"/>
      <c r="J139" s="103"/>
      <c r="K139" s="103"/>
    </row>
    <row r="140" spans="1:11" x14ac:dyDescent="0.25">
      <c r="A140" s="209"/>
      <c r="B140" s="103"/>
      <c r="C140" s="110"/>
      <c r="D140" s="113"/>
      <c r="E140" s="112"/>
      <c r="F140" s="210"/>
      <c r="G140" s="113"/>
      <c r="H140" s="112"/>
      <c r="J140" s="103"/>
      <c r="K140" s="103"/>
    </row>
    <row r="141" spans="1:11" x14ac:dyDescent="0.25">
      <c r="A141" s="209"/>
      <c r="B141" s="103"/>
      <c r="C141" s="110"/>
      <c r="D141" s="113"/>
      <c r="E141" s="112"/>
      <c r="F141" s="210"/>
      <c r="G141" s="113"/>
      <c r="H141" s="112"/>
      <c r="J141" s="103"/>
      <c r="K141" s="103"/>
    </row>
    <row r="142" spans="1:11" x14ac:dyDescent="0.25">
      <c r="A142" s="209"/>
      <c r="B142" s="103"/>
      <c r="C142" s="110"/>
      <c r="D142" s="113"/>
      <c r="E142" s="112"/>
      <c r="F142" s="210"/>
      <c r="G142" s="113"/>
      <c r="H142" s="112"/>
      <c r="J142" s="103"/>
      <c r="K142" s="103"/>
    </row>
    <row r="143" spans="1:11" x14ac:dyDescent="0.25">
      <c r="A143" s="209"/>
      <c r="B143" s="103"/>
      <c r="C143" s="110"/>
      <c r="D143" s="113"/>
      <c r="E143" s="112"/>
      <c r="F143" s="210"/>
      <c r="G143" s="113"/>
      <c r="H143" s="112"/>
      <c r="J143" s="103"/>
      <c r="K143" s="103"/>
    </row>
    <row r="144" spans="1:11" x14ac:dyDescent="0.25">
      <c r="A144" s="209"/>
      <c r="B144" s="103"/>
      <c r="C144" s="110"/>
      <c r="D144" s="113"/>
      <c r="E144" s="112"/>
      <c r="F144" s="210"/>
      <c r="G144" s="113"/>
      <c r="H144" s="112"/>
      <c r="J144" s="103"/>
      <c r="K144" s="103"/>
    </row>
    <row r="145" spans="1:11" x14ac:dyDescent="0.25">
      <c r="A145" s="209"/>
      <c r="B145" s="103"/>
      <c r="C145" s="110"/>
      <c r="D145" s="113"/>
      <c r="E145" s="112"/>
      <c r="F145" s="210"/>
      <c r="G145" s="113"/>
      <c r="H145" s="112"/>
      <c r="J145" s="103"/>
      <c r="K145" s="103"/>
    </row>
    <row r="146" spans="1:11" x14ac:dyDescent="0.25">
      <c r="A146" s="209"/>
      <c r="B146" s="103"/>
      <c r="C146" s="110"/>
      <c r="D146" s="113"/>
      <c r="E146" s="112"/>
      <c r="F146" s="210"/>
      <c r="G146" s="113"/>
      <c r="H146" s="112"/>
      <c r="J146" s="103"/>
      <c r="K146" s="103"/>
    </row>
    <row r="147" spans="1:11" x14ac:dyDescent="0.25">
      <c r="A147" s="209"/>
      <c r="B147" s="103"/>
      <c r="C147" s="110"/>
      <c r="D147" s="113"/>
      <c r="E147" s="112"/>
      <c r="F147" s="210"/>
      <c r="G147" s="113"/>
      <c r="H147" s="112"/>
      <c r="J147" s="103"/>
      <c r="K147" s="103"/>
    </row>
    <row r="148" spans="1:11" x14ac:dyDescent="0.25">
      <c r="A148" s="209"/>
      <c r="B148" s="103"/>
      <c r="C148" s="110"/>
      <c r="D148" s="113"/>
      <c r="E148" s="112"/>
      <c r="F148" s="210"/>
      <c r="G148" s="113"/>
      <c r="H148" s="112"/>
      <c r="J148" s="103"/>
      <c r="K148" s="103"/>
    </row>
    <row r="149" spans="1:11" x14ac:dyDescent="0.25">
      <c r="A149" s="209"/>
      <c r="B149" s="103"/>
      <c r="C149" s="110"/>
      <c r="D149" s="113"/>
      <c r="E149" s="112"/>
      <c r="F149" s="210"/>
      <c r="G149" s="113"/>
      <c r="H149" s="112"/>
      <c r="J149" s="103"/>
      <c r="K149" s="103"/>
    </row>
    <row r="150" spans="1:11" x14ac:dyDescent="0.25">
      <c r="A150" s="209"/>
      <c r="B150" s="103"/>
      <c r="C150" s="110"/>
      <c r="D150" s="113"/>
      <c r="E150" s="112"/>
      <c r="F150" s="210"/>
      <c r="G150" s="113"/>
      <c r="H150" s="112"/>
      <c r="J150" s="103"/>
      <c r="K150" s="103"/>
    </row>
    <row r="151" spans="1:11" x14ac:dyDescent="0.25">
      <c r="A151" s="209"/>
      <c r="B151" s="103"/>
      <c r="C151" s="110"/>
      <c r="D151" s="113"/>
      <c r="E151" s="112"/>
      <c r="F151" s="210"/>
      <c r="G151" s="113"/>
      <c r="H151" s="112"/>
      <c r="J151" s="103"/>
      <c r="K151" s="103"/>
    </row>
    <row r="152" spans="1:11" x14ac:dyDescent="0.25">
      <c r="A152" s="209"/>
      <c r="B152" s="103"/>
      <c r="C152" s="110"/>
      <c r="D152" s="113"/>
      <c r="E152" s="112"/>
      <c r="F152" s="210"/>
      <c r="G152" s="113"/>
      <c r="H152" s="112"/>
      <c r="J152" s="103"/>
      <c r="K152" s="103"/>
    </row>
    <row r="153" spans="1:11" x14ac:dyDescent="0.25">
      <c r="A153" s="209"/>
      <c r="B153" s="103"/>
      <c r="C153" s="110"/>
      <c r="D153" s="113"/>
      <c r="E153" s="112"/>
      <c r="F153" s="210"/>
      <c r="G153" s="113"/>
      <c r="H153" s="112"/>
      <c r="J153" s="103"/>
      <c r="K153" s="103"/>
    </row>
    <row r="154" spans="1:11" x14ac:dyDescent="0.25">
      <c r="A154" s="209"/>
      <c r="B154" s="103"/>
      <c r="C154" s="110"/>
      <c r="D154" s="113"/>
      <c r="E154" s="112"/>
      <c r="F154" s="210"/>
      <c r="G154" s="113"/>
      <c r="H154" s="112"/>
      <c r="J154" s="103"/>
      <c r="K154" s="103"/>
    </row>
    <row r="155" spans="1:11" x14ac:dyDescent="0.25">
      <c r="C155" s="110"/>
      <c r="D155" s="113"/>
      <c r="E155" s="112"/>
      <c r="G155" s="113"/>
      <c r="H155" s="112"/>
      <c r="J155" s="103"/>
      <c r="K155" s="103"/>
    </row>
    <row r="156" spans="1:11" x14ac:dyDescent="0.25">
      <c r="C156" s="110"/>
      <c r="D156" s="113"/>
      <c r="E156" s="112"/>
      <c r="G156" s="113"/>
      <c r="H156" s="112"/>
      <c r="J156" s="103"/>
      <c r="K156" s="103"/>
    </row>
    <row r="157" spans="1:11" x14ac:dyDescent="0.25">
      <c r="C157" s="110"/>
      <c r="D157" s="113"/>
      <c r="E157" s="112"/>
      <c r="G157" s="113"/>
      <c r="H157" s="112"/>
      <c r="J157" s="103"/>
      <c r="K157" s="103"/>
    </row>
    <row r="158" spans="1:11" x14ac:dyDescent="0.25">
      <c r="C158" s="110"/>
      <c r="D158" s="113"/>
      <c r="E158" s="112"/>
      <c r="G158" s="113"/>
      <c r="H158" s="112"/>
      <c r="J158" s="103"/>
      <c r="K158" s="103"/>
    </row>
    <row r="159" spans="1:11" x14ac:dyDescent="0.25">
      <c r="C159" s="110"/>
      <c r="D159" s="113"/>
      <c r="E159" s="112"/>
      <c r="G159" s="113"/>
      <c r="H159" s="112"/>
      <c r="J159" s="103"/>
      <c r="K159" s="103"/>
    </row>
    <row r="160" spans="1:11" x14ac:dyDescent="0.25">
      <c r="A160" s="209"/>
      <c r="C160" s="110"/>
      <c r="D160" s="113"/>
      <c r="E160" s="112"/>
      <c r="G160" s="113"/>
      <c r="H160" s="112"/>
      <c r="J160" s="103"/>
      <c r="K160" s="103"/>
    </row>
    <row r="161" spans="1:11" x14ac:dyDescent="0.25">
      <c r="A161" s="209"/>
      <c r="C161" s="110"/>
      <c r="D161" s="113"/>
      <c r="E161" s="112"/>
      <c r="G161" s="113"/>
      <c r="H161" s="112"/>
      <c r="J161" s="103"/>
      <c r="K161" s="103"/>
    </row>
    <row r="162" spans="1:11" x14ac:dyDescent="0.25">
      <c r="A162" s="209"/>
      <c r="C162" s="110"/>
      <c r="D162" s="113"/>
      <c r="E162" s="112"/>
      <c r="G162" s="113"/>
      <c r="H162" s="112"/>
      <c r="J162" s="103"/>
      <c r="K162" s="103"/>
    </row>
    <row r="163" spans="1:11" x14ac:dyDescent="0.25">
      <c r="A163" s="209"/>
      <c r="C163" s="110"/>
      <c r="D163" s="113"/>
      <c r="E163" s="112"/>
      <c r="G163" s="113"/>
      <c r="H163" s="112"/>
      <c r="J163" s="103"/>
      <c r="K163" s="103"/>
    </row>
    <row r="164" spans="1:11" x14ac:dyDescent="0.25">
      <c r="A164" s="209"/>
      <c r="C164" s="110"/>
      <c r="D164" s="113"/>
      <c r="E164" s="112"/>
      <c r="G164" s="113"/>
      <c r="H164" s="112"/>
      <c r="J164" s="103"/>
      <c r="K164" s="103"/>
    </row>
    <row r="165" spans="1:11" x14ac:dyDescent="0.25">
      <c r="A165" s="209"/>
      <c r="C165" s="110"/>
      <c r="D165" s="113"/>
      <c r="E165" s="112"/>
      <c r="G165" s="113"/>
      <c r="H165" s="112"/>
      <c r="J165" s="103"/>
      <c r="K165" s="103"/>
    </row>
    <row r="166" spans="1:11" x14ac:dyDescent="0.25">
      <c r="A166" s="209"/>
      <c r="C166" s="110"/>
      <c r="D166" s="113"/>
      <c r="E166" s="112"/>
      <c r="G166" s="113"/>
      <c r="H166" s="112"/>
      <c r="J166" s="103"/>
      <c r="K166" s="103"/>
    </row>
    <row r="167" spans="1:11" x14ac:dyDescent="0.25">
      <c r="A167" s="209"/>
      <c r="C167" s="110"/>
      <c r="D167" s="113"/>
      <c r="E167" s="112"/>
      <c r="G167" s="113"/>
      <c r="H167" s="112"/>
      <c r="J167" s="103"/>
      <c r="K167" s="103"/>
    </row>
    <row r="168" spans="1:11" x14ac:dyDescent="0.25">
      <c r="A168" s="209"/>
      <c r="C168" s="110"/>
      <c r="D168" s="113"/>
      <c r="E168" s="112"/>
      <c r="G168" s="113"/>
      <c r="H168" s="112"/>
      <c r="J168" s="103"/>
      <c r="K168" s="103"/>
    </row>
    <row r="169" spans="1:11" x14ac:dyDescent="0.25">
      <c r="A169" s="209"/>
      <c r="C169" s="110"/>
      <c r="D169" s="113"/>
      <c r="E169" s="112"/>
      <c r="G169" s="113"/>
      <c r="H169" s="112"/>
      <c r="J169" s="103"/>
      <c r="K169" s="103"/>
    </row>
    <row r="170" spans="1:11" x14ac:dyDescent="0.25">
      <c r="A170" s="209"/>
      <c r="C170" s="110"/>
      <c r="D170" s="113"/>
      <c r="E170" s="112"/>
      <c r="G170" s="113"/>
      <c r="H170" s="112"/>
      <c r="J170" s="103"/>
      <c r="K170" s="103"/>
    </row>
    <row r="171" spans="1:11" x14ac:dyDescent="0.25">
      <c r="A171" s="209"/>
      <c r="C171" s="110"/>
      <c r="D171" s="113"/>
      <c r="E171" s="112"/>
      <c r="G171" s="113"/>
      <c r="H171" s="112"/>
      <c r="J171" s="103"/>
      <c r="K171" s="103"/>
    </row>
    <row r="172" spans="1:11" x14ac:dyDescent="0.25">
      <c r="A172" s="209"/>
      <c r="C172" s="110"/>
      <c r="D172" s="113"/>
      <c r="E172" s="112"/>
      <c r="G172" s="113"/>
      <c r="H172" s="112"/>
      <c r="J172" s="103"/>
      <c r="K172" s="103"/>
    </row>
    <row r="173" spans="1:11" x14ac:dyDescent="0.25">
      <c r="A173" s="209"/>
      <c r="C173" s="110"/>
      <c r="D173" s="113"/>
      <c r="E173" s="112"/>
      <c r="G173" s="113"/>
      <c r="H173" s="112"/>
      <c r="J173" s="103"/>
      <c r="K173" s="103"/>
    </row>
    <row r="174" spans="1:11" x14ac:dyDescent="0.25">
      <c r="A174" s="209"/>
      <c r="C174" s="110"/>
      <c r="D174" s="113"/>
      <c r="E174" s="112"/>
      <c r="G174" s="113"/>
      <c r="H174" s="112"/>
      <c r="J174" s="103"/>
      <c r="K174" s="103"/>
    </row>
    <row r="175" spans="1:11" x14ac:dyDescent="0.25">
      <c r="C175" s="110"/>
      <c r="D175" s="113"/>
      <c r="E175" s="112"/>
      <c r="G175" s="113"/>
      <c r="H175" s="112"/>
      <c r="J175" s="103"/>
      <c r="K175" s="103"/>
    </row>
    <row r="176" spans="1:11" x14ac:dyDescent="0.25">
      <c r="C176" s="110"/>
      <c r="D176" s="113"/>
      <c r="E176" s="112"/>
      <c r="G176" s="113"/>
      <c r="H176" s="112"/>
      <c r="J176" s="103"/>
      <c r="K176" s="103"/>
    </row>
    <row r="177" spans="1:11" x14ac:dyDescent="0.25">
      <c r="C177" s="110"/>
      <c r="D177" s="113"/>
      <c r="E177" s="112"/>
      <c r="G177" s="113"/>
      <c r="H177" s="112"/>
      <c r="J177" s="103"/>
      <c r="K177" s="103"/>
    </row>
    <row r="178" spans="1:11" x14ac:dyDescent="0.25">
      <c r="C178" s="110"/>
      <c r="D178" s="113"/>
      <c r="E178" s="112"/>
      <c r="G178" s="113"/>
      <c r="H178" s="112"/>
      <c r="J178" s="103"/>
      <c r="K178" s="103"/>
    </row>
    <row r="179" spans="1:11" x14ac:dyDescent="0.25">
      <c r="C179" s="110"/>
      <c r="D179" s="113"/>
      <c r="E179" s="112"/>
      <c r="G179" s="113"/>
      <c r="H179" s="112"/>
      <c r="J179" s="103"/>
      <c r="K179" s="103"/>
    </row>
    <row r="180" spans="1:11" x14ac:dyDescent="0.25">
      <c r="C180" s="110"/>
      <c r="D180" s="113"/>
      <c r="E180" s="112"/>
      <c r="G180" s="113"/>
      <c r="H180" s="112"/>
      <c r="J180" s="103"/>
      <c r="K180" s="103"/>
    </row>
    <row r="181" spans="1:11" x14ac:dyDescent="0.25">
      <c r="C181" s="110"/>
      <c r="D181" s="113"/>
      <c r="E181" s="112"/>
      <c r="G181" s="113"/>
      <c r="H181" s="112"/>
      <c r="J181" s="103"/>
      <c r="K181" s="103"/>
    </row>
    <row r="182" spans="1:11" x14ac:dyDescent="0.25">
      <c r="C182" s="110"/>
      <c r="D182" s="113"/>
      <c r="E182" s="112"/>
      <c r="G182" s="113"/>
      <c r="H182" s="112"/>
      <c r="J182" s="103"/>
      <c r="K182" s="103"/>
    </row>
    <row r="183" spans="1:11" x14ac:dyDescent="0.25">
      <c r="C183" s="110"/>
      <c r="D183" s="113"/>
      <c r="E183" s="112"/>
      <c r="G183" s="113"/>
      <c r="H183" s="112"/>
      <c r="J183" s="103"/>
      <c r="K183" s="103"/>
    </row>
    <row r="184" spans="1:11" x14ac:dyDescent="0.25">
      <c r="C184" s="110"/>
      <c r="D184" s="113"/>
      <c r="E184" s="112"/>
      <c r="G184" s="113"/>
      <c r="H184" s="112"/>
      <c r="J184" s="103"/>
      <c r="K184" s="103"/>
    </row>
    <row r="185" spans="1:11" x14ac:dyDescent="0.25">
      <c r="C185" s="110"/>
      <c r="D185" s="113"/>
      <c r="E185" s="112"/>
      <c r="G185" s="113"/>
      <c r="H185" s="112"/>
      <c r="J185" s="103"/>
      <c r="K185" s="103"/>
    </row>
    <row r="186" spans="1:11" x14ac:dyDescent="0.25">
      <c r="C186" s="110"/>
      <c r="D186" s="113"/>
      <c r="E186" s="112"/>
      <c r="G186" s="113"/>
      <c r="H186" s="112"/>
      <c r="J186" s="103"/>
      <c r="K186" s="103"/>
    </row>
    <row r="187" spans="1:11" x14ac:dyDescent="0.25">
      <c r="A187" s="209"/>
      <c r="C187" s="110"/>
      <c r="D187" s="113"/>
      <c r="E187" s="112"/>
      <c r="G187" s="113"/>
      <c r="H187" s="112"/>
      <c r="I187" s="112"/>
      <c r="J187" s="103"/>
      <c r="K187" s="103"/>
    </row>
    <row r="188" spans="1:11" x14ac:dyDescent="0.25">
      <c r="A188" s="209"/>
      <c r="C188" s="110"/>
      <c r="D188" s="113"/>
      <c r="E188" s="112"/>
      <c r="G188" s="113"/>
      <c r="H188" s="112"/>
      <c r="J188" s="103"/>
      <c r="K188" s="103"/>
    </row>
    <row r="189" spans="1:11" x14ac:dyDescent="0.25">
      <c r="A189" s="209"/>
      <c r="C189" s="110"/>
      <c r="D189" s="113"/>
      <c r="E189" s="112"/>
      <c r="G189" s="113"/>
      <c r="H189" s="112"/>
      <c r="I189" s="112"/>
      <c r="J189" s="103"/>
      <c r="K189" s="103"/>
    </row>
    <row r="190" spans="1:11" x14ac:dyDescent="0.25">
      <c r="A190" s="209"/>
      <c r="C190" s="110"/>
      <c r="D190" s="113"/>
      <c r="E190" s="112"/>
      <c r="G190" s="113"/>
      <c r="H190" s="112"/>
      <c r="J190" s="103"/>
      <c r="K190" s="103"/>
    </row>
    <row r="191" spans="1:11" x14ac:dyDescent="0.25">
      <c r="C191" s="110"/>
      <c r="D191" s="113"/>
      <c r="E191" s="112"/>
      <c r="G191" s="113"/>
      <c r="H191" s="112"/>
      <c r="J191" s="103"/>
      <c r="K191" s="103"/>
    </row>
    <row r="192" spans="1:11" x14ac:dyDescent="0.25">
      <c r="C192" s="110"/>
      <c r="D192" s="113"/>
      <c r="E192" s="112"/>
      <c r="G192" s="113"/>
      <c r="H192" s="112"/>
      <c r="J192" s="103"/>
      <c r="K192" s="103"/>
    </row>
    <row r="193" spans="2:11" x14ac:dyDescent="0.25">
      <c r="C193" s="110"/>
      <c r="D193" s="113"/>
      <c r="E193" s="112"/>
      <c r="G193" s="113"/>
      <c r="H193" s="112"/>
      <c r="J193" s="103"/>
      <c r="K193" s="103"/>
    </row>
    <row r="194" spans="2:11" x14ac:dyDescent="0.25">
      <c r="C194" s="110"/>
      <c r="D194" s="113"/>
      <c r="E194" s="112"/>
      <c r="G194" s="113"/>
      <c r="H194" s="112"/>
      <c r="J194" s="103"/>
      <c r="K194" s="103"/>
    </row>
    <row r="195" spans="2:11" x14ac:dyDescent="0.25">
      <c r="C195" s="110"/>
      <c r="D195" s="113"/>
      <c r="E195" s="112"/>
      <c r="G195" s="113"/>
      <c r="H195" s="112"/>
      <c r="J195" s="103"/>
      <c r="K195" s="103"/>
    </row>
    <row r="196" spans="2:11" x14ac:dyDescent="0.25">
      <c r="C196" s="110"/>
      <c r="D196" s="113"/>
      <c r="E196" s="112"/>
      <c r="G196" s="113"/>
      <c r="H196" s="112"/>
      <c r="J196" s="103"/>
      <c r="K196" s="103"/>
    </row>
    <row r="197" spans="2:11" x14ac:dyDescent="0.25">
      <c r="C197" s="110"/>
      <c r="D197" s="113"/>
      <c r="E197" s="112"/>
      <c r="G197" s="113"/>
      <c r="H197" s="112"/>
      <c r="J197" s="103"/>
      <c r="K197" s="103"/>
    </row>
    <row r="198" spans="2:11" x14ac:dyDescent="0.25">
      <c r="C198" s="110"/>
      <c r="D198" s="113"/>
      <c r="E198" s="112"/>
      <c r="G198" s="113"/>
      <c r="H198" s="112"/>
      <c r="J198" s="103"/>
      <c r="K198" s="103"/>
    </row>
    <row r="199" spans="2:11" x14ac:dyDescent="0.25">
      <c r="C199" s="110"/>
      <c r="D199" s="113"/>
      <c r="E199" s="112"/>
      <c r="G199" s="113"/>
      <c r="H199" s="112"/>
      <c r="J199" s="103"/>
      <c r="K199" s="103"/>
    </row>
    <row r="200" spans="2:11" x14ac:dyDescent="0.25">
      <c r="B200" s="135"/>
      <c r="C200" s="110"/>
      <c r="D200" s="113"/>
      <c r="E200" s="112"/>
      <c r="F200" s="683"/>
      <c r="G200" s="683"/>
      <c r="H200" s="112"/>
      <c r="J200" s="103"/>
      <c r="K200" s="103"/>
    </row>
    <row r="201" spans="2:11" x14ac:dyDescent="0.25">
      <c r="C201" s="110"/>
      <c r="D201" s="113"/>
      <c r="E201" s="112"/>
      <c r="G201" s="113"/>
      <c r="H201" s="112"/>
      <c r="J201" s="103"/>
      <c r="K201" s="103"/>
    </row>
    <row r="202" spans="2:11" x14ac:dyDescent="0.25">
      <c r="C202" s="110"/>
      <c r="D202" s="113"/>
      <c r="E202" s="112"/>
      <c r="G202" s="113"/>
      <c r="H202" s="112"/>
      <c r="J202" s="103"/>
      <c r="K202" s="103"/>
    </row>
    <row r="203" spans="2:11" x14ac:dyDescent="0.25">
      <c r="C203" s="110"/>
      <c r="D203" s="113"/>
      <c r="E203" s="112"/>
      <c r="G203" s="113"/>
      <c r="H203" s="112"/>
      <c r="J203" s="103"/>
      <c r="K203" s="103"/>
    </row>
    <row r="204" spans="2:11" x14ac:dyDescent="0.25">
      <c r="C204" s="110"/>
      <c r="D204" s="113"/>
      <c r="E204" s="112"/>
      <c r="G204" s="113"/>
      <c r="H204" s="112"/>
      <c r="J204" s="103"/>
      <c r="K204" s="103"/>
    </row>
    <row r="205" spans="2:11" x14ac:dyDescent="0.25">
      <c r="C205" s="110"/>
      <c r="D205" s="113"/>
      <c r="E205" s="112"/>
      <c r="G205" s="113"/>
      <c r="H205" s="112"/>
      <c r="J205" s="103"/>
      <c r="K205" s="103"/>
    </row>
    <row r="206" spans="2:11" x14ac:dyDescent="0.25">
      <c r="C206" s="110"/>
      <c r="D206" s="113"/>
      <c r="E206" s="112"/>
      <c r="G206" s="113"/>
      <c r="H206" s="112"/>
      <c r="J206" s="103"/>
      <c r="K206" s="103"/>
    </row>
    <row r="207" spans="2:11" x14ac:dyDescent="0.25">
      <c r="C207" s="110"/>
      <c r="D207" s="113"/>
      <c r="E207" s="112"/>
      <c r="G207" s="113"/>
      <c r="H207" s="112"/>
      <c r="J207" s="103"/>
      <c r="K207" s="103"/>
    </row>
    <row r="208" spans="2:11" x14ac:dyDescent="0.25">
      <c r="C208" s="110"/>
      <c r="D208" s="113"/>
      <c r="E208" s="112"/>
      <c r="G208" s="113"/>
      <c r="H208" s="112"/>
      <c r="J208" s="103"/>
      <c r="K208" s="103"/>
    </row>
    <row r="209" spans="3:12" x14ac:dyDescent="0.25">
      <c r="C209" s="110"/>
      <c r="D209" s="113"/>
      <c r="E209" s="112"/>
      <c r="G209" s="113"/>
      <c r="H209" s="112"/>
      <c r="J209" s="103"/>
      <c r="K209" s="103"/>
    </row>
    <row r="210" spans="3:12" x14ac:dyDescent="0.25">
      <c r="C210" s="110"/>
      <c r="D210" s="113"/>
      <c r="E210" s="112"/>
      <c r="G210" s="113"/>
      <c r="H210" s="112"/>
      <c r="J210" s="103"/>
      <c r="K210" s="103"/>
    </row>
    <row r="211" spans="3:12" x14ac:dyDescent="0.25">
      <c r="C211" s="110"/>
      <c r="D211" s="113"/>
      <c r="E211" s="112"/>
      <c r="G211" s="113"/>
      <c r="H211" s="112"/>
      <c r="J211" s="103"/>
      <c r="K211" s="103"/>
    </row>
    <row r="212" spans="3:12" x14ac:dyDescent="0.25">
      <c r="C212" s="110"/>
      <c r="D212" s="113"/>
      <c r="E212" s="112"/>
      <c r="G212" s="113"/>
      <c r="H212" s="112"/>
      <c r="J212" s="103"/>
      <c r="K212" s="103"/>
    </row>
    <row r="213" spans="3:12" x14ac:dyDescent="0.25">
      <c r="C213" s="110"/>
      <c r="D213" s="113"/>
      <c r="E213" s="112"/>
      <c r="G213" s="113"/>
      <c r="H213" s="112"/>
      <c r="J213" s="103"/>
      <c r="K213" s="103"/>
    </row>
    <row r="214" spans="3:12" x14ac:dyDescent="0.25">
      <c r="C214" s="110"/>
      <c r="D214" s="113"/>
      <c r="E214" s="112"/>
      <c r="G214" s="113"/>
      <c r="H214" s="112"/>
      <c r="J214" s="103"/>
      <c r="K214" s="103"/>
    </row>
    <row r="215" spans="3:12" x14ac:dyDescent="0.25">
      <c r="C215" s="110"/>
      <c r="D215" s="113"/>
      <c r="E215" s="112"/>
      <c r="G215" s="113"/>
      <c r="H215" s="112"/>
      <c r="J215" s="103"/>
      <c r="K215" s="103"/>
    </row>
    <row r="216" spans="3:12" x14ac:dyDescent="0.25">
      <c r="C216" s="110"/>
      <c r="D216" s="113"/>
      <c r="E216" s="112"/>
      <c r="G216" s="113"/>
      <c r="H216" s="112"/>
      <c r="J216" s="103"/>
      <c r="K216" s="103"/>
    </row>
    <row r="217" spans="3:12" x14ac:dyDescent="0.25">
      <c r="C217" s="110"/>
      <c r="D217" s="113"/>
      <c r="E217" s="112"/>
      <c r="G217" s="113"/>
      <c r="H217" s="112"/>
      <c r="J217" s="103"/>
      <c r="K217" s="103"/>
    </row>
    <row r="218" spans="3:12" x14ac:dyDescent="0.25">
      <c r="C218" s="110"/>
      <c r="D218" s="113"/>
      <c r="E218" s="112"/>
      <c r="G218" s="113"/>
      <c r="H218" s="112"/>
      <c r="J218" s="103"/>
      <c r="K218" s="103"/>
    </row>
    <row r="219" spans="3:12" x14ac:dyDescent="0.25">
      <c r="C219" s="110"/>
      <c r="D219" s="113"/>
      <c r="E219" s="112"/>
      <c r="G219" s="113"/>
      <c r="H219" s="112"/>
      <c r="J219" s="103"/>
      <c r="K219" s="103"/>
    </row>
    <row r="220" spans="3:12" x14ac:dyDescent="0.25">
      <c r="C220" s="110"/>
      <c r="D220" s="113"/>
      <c r="E220" s="112"/>
      <c r="G220" s="113"/>
      <c r="H220" s="112"/>
      <c r="J220" s="103"/>
      <c r="K220" s="103"/>
      <c r="L220" s="103"/>
    </row>
    <row r="221" spans="3:12" x14ac:dyDescent="0.25">
      <c r="C221" s="110"/>
      <c r="D221" s="113"/>
      <c r="E221" s="112"/>
      <c r="G221" s="113"/>
      <c r="H221" s="112"/>
      <c r="J221" s="103"/>
      <c r="K221" s="103"/>
      <c r="L221" s="103"/>
    </row>
    <row r="222" spans="3:12" x14ac:dyDescent="0.25">
      <c r="C222" s="110"/>
      <c r="D222" s="113"/>
      <c r="E222" s="112"/>
      <c r="G222" s="113"/>
      <c r="H222" s="112"/>
      <c r="J222" s="103"/>
      <c r="K222" s="103"/>
    </row>
    <row r="223" spans="3:12" x14ac:dyDescent="0.25">
      <c r="C223" s="110"/>
      <c r="D223" s="113"/>
      <c r="E223" s="112"/>
      <c r="G223" s="113"/>
      <c r="H223" s="112"/>
      <c r="J223" s="103"/>
      <c r="K223" s="103"/>
    </row>
    <row r="224" spans="3:12" x14ac:dyDescent="0.25">
      <c r="C224" s="110"/>
      <c r="D224" s="113"/>
      <c r="E224" s="112"/>
      <c r="G224" s="113"/>
      <c r="H224" s="112"/>
      <c r="J224" s="103"/>
      <c r="K224" s="103"/>
    </row>
    <row r="225" spans="3:11" x14ac:dyDescent="0.25">
      <c r="C225" s="110"/>
      <c r="D225" s="113"/>
      <c r="E225" s="112"/>
      <c r="G225" s="113"/>
      <c r="H225" s="112"/>
      <c r="J225" s="103"/>
      <c r="K225" s="103"/>
    </row>
    <row r="226" spans="3:11" x14ac:dyDescent="0.25">
      <c r="C226" s="110"/>
      <c r="D226" s="113"/>
      <c r="E226" s="112"/>
      <c r="G226" s="113"/>
      <c r="H226" s="112"/>
      <c r="J226" s="103"/>
      <c r="K226" s="103"/>
    </row>
    <row r="227" spans="3:11" x14ac:dyDescent="0.25">
      <c r="C227" s="110"/>
      <c r="D227" s="113"/>
      <c r="E227" s="112"/>
      <c r="G227" s="113"/>
      <c r="H227" s="112"/>
      <c r="J227" s="103"/>
      <c r="K227" s="103"/>
    </row>
    <row r="228" spans="3:11" x14ac:dyDescent="0.25">
      <c r="C228" s="110"/>
      <c r="D228" s="113"/>
      <c r="E228" s="112"/>
      <c r="G228" s="113"/>
      <c r="H228" s="112"/>
      <c r="J228" s="103"/>
      <c r="K228" s="103"/>
    </row>
    <row r="229" spans="3:11" x14ac:dyDescent="0.25">
      <c r="C229" s="110"/>
      <c r="D229" s="113"/>
      <c r="E229" s="112"/>
      <c r="G229" s="113"/>
      <c r="H229" s="112"/>
      <c r="J229" s="103"/>
      <c r="K229" s="103"/>
    </row>
    <row r="230" spans="3:11" x14ac:dyDescent="0.25">
      <c r="C230" s="110"/>
      <c r="D230" s="113"/>
      <c r="E230" s="112"/>
      <c r="G230" s="113"/>
      <c r="H230" s="112"/>
      <c r="J230" s="103"/>
      <c r="K230" s="103"/>
    </row>
    <row r="231" spans="3:11" x14ac:dyDescent="0.25">
      <c r="C231" s="110"/>
      <c r="D231" s="113"/>
      <c r="E231" s="112"/>
      <c r="G231" s="113"/>
      <c r="H231" s="112"/>
      <c r="J231" s="103"/>
      <c r="K231" s="103"/>
    </row>
    <row r="232" spans="3:11" x14ac:dyDescent="0.25">
      <c r="C232" s="110"/>
      <c r="D232" s="113"/>
      <c r="E232" s="112"/>
      <c r="G232" s="113"/>
      <c r="H232" s="112"/>
      <c r="J232" s="103"/>
      <c r="K232" s="103"/>
    </row>
    <row r="233" spans="3:11" x14ac:dyDescent="0.25">
      <c r="C233" s="110"/>
      <c r="D233" s="113"/>
      <c r="E233" s="112"/>
      <c r="G233" s="113"/>
      <c r="H233" s="112"/>
      <c r="J233" s="103"/>
      <c r="K233" s="103"/>
    </row>
    <row r="234" spans="3:11" x14ac:dyDescent="0.25">
      <c r="C234" s="110"/>
      <c r="D234" s="113"/>
      <c r="E234" s="112"/>
      <c r="G234" s="113"/>
      <c r="H234" s="112"/>
      <c r="J234" s="103"/>
      <c r="K234" s="103"/>
    </row>
    <row r="235" spans="3:11" x14ac:dyDescent="0.25">
      <c r="C235" s="110"/>
      <c r="D235" s="113"/>
      <c r="E235" s="112"/>
      <c r="G235" s="113"/>
      <c r="H235" s="112"/>
      <c r="J235" s="103"/>
      <c r="K235" s="103"/>
    </row>
    <row r="236" spans="3:11" x14ac:dyDescent="0.25">
      <c r="C236" s="110"/>
      <c r="D236" s="113"/>
      <c r="E236" s="112"/>
      <c r="G236" s="113"/>
      <c r="H236" s="112"/>
      <c r="J236" s="103"/>
      <c r="K236" s="103"/>
    </row>
    <row r="237" spans="3:11" x14ac:dyDescent="0.25">
      <c r="C237" s="110"/>
      <c r="D237" s="113"/>
      <c r="E237" s="112"/>
      <c r="G237" s="113"/>
      <c r="H237" s="112"/>
      <c r="J237" s="103"/>
      <c r="K237" s="103"/>
    </row>
    <row r="238" spans="3:11" x14ac:dyDescent="0.25">
      <c r="C238" s="110"/>
      <c r="D238" s="113"/>
      <c r="E238" s="112"/>
      <c r="G238" s="113"/>
      <c r="H238" s="112"/>
      <c r="J238" s="103"/>
      <c r="K238" s="103"/>
    </row>
    <row r="239" spans="3:11" x14ac:dyDescent="0.25">
      <c r="C239" s="110"/>
      <c r="D239" s="113"/>
      <c r="E239" s="112"/>
      <c r="G239" s="113"/>
      <c r="H239" s="112"/>
      <c r="J239" s="103"/>
      <c r="K239" s="103"/>
    </row>
    <row r="240" spans="3:11" x14ac:dyDescent="0.25">
      <c r="C240" s="110"/>
      <c r="D240" s="113"/>
      <c r="E240" s="112"/>
      <c r="G240" s="113"/>
      <c r="H240" s="112"/>
      <c r="J240" s="103"/>
      <c r="K240" s="103"/>
    </row>
    <row r="241" spans="3:11" x14ac:dyDescent="0.25">
      <c r="C241" s="110"/>
      <c r="D241" s="113"/>
      <c r="E241" s="112"/>
      <c r="G241" s="113"/>
      <c r="H241" s="112"/>
      <c r="J241" s="103"/>
      <c r="K241" s="103"/>
    </row>
    <row r="242" spans="3:11" x14ac:dyDescent="0.25">
      <c r="C242" s="110"/>
      <c r="D242" s="113"/>
      <c r="E242" s="112"/>
      <c r="G242" s="113"/>
      <c r="H242" s="112"/>
      <c r="J242" s="103"/>
      <c r="K242" s="103"/>
    </row>
    <row r="243" spans="3:11" x14ac:dyDescent="0.25">
      <c r="C243" s="110"/>
      <c r="D243" s="113"/>
      <c r="E243" s="112"/>
      <c r="G243" s="113"/>
      <c r="H243" s="112"/>
      <c r="J243" s="103"/>
      <c r="K243" s="103"/>
    </row>
    <row r="244" spans="3:11" x14ac:dyDescent="0.25">
      <c r="C244" s="110"/>
      <c r="D244" s="113"/>
      <c r="E244" s="112"/>
      <c r="G244" s="113"/>
      <c r="H244" s="112"/>
      <c r="J244" s="103"/>
      <c r="K244" s="103"/>
    </row>
    <row r="245" spans="3:11" x14ac:dyDescent="0.25">
      <c r="C245" s="110"/>
      <c r="D245" s="113"/>
      <c r="E245" s="112"/>
      <c r="G245" s="113"/>
      <c r="H245" s="112"/>
      <c r="J245" s="103"/>
      <c r="K245" s="103"/>
    </row>
    <row r="246" spans="3:11" x14ac:dyDescent="0.25">
      <c r="C246" s="110"/>
      <c r="D246" s="113"/>
      <c r="E246" s="112"/>
      <c r="G246" s="113"/>
      <c r="H246" s="112"/>
      <c r="J246" s="103"/>
      <c r="K246" s="103"/>
    </row>
    <row r="247" spans="3:11" x14ac:dyDescent="0.25">
      <c r="C247" s="110"/>
      <c r="D247" s="113"/>
      <c r="E247" s="112"/>
      <c r="G247" s="113"/>
      <c r="H247" s="112"/>
      <c r="J247" s="103"/>
      <c r="K247" s="103"/>
    </row>
    <row r="248" spans="3:11" x14ac:dyDescent="0.25">
      <c r="C248" s="110"/>
      <c r="D248" s="113"/>
      <c r="E248" s="112"/>
      <c r="G248" s="113"/>
      <c r="H248" s="112"/>
      <c r="J248" s="103"/>
      <c r="K248" s="103"/>
    </row>
    <row r="249" spans="3:11" x14ac:dyDescent="0.25">
      <c r="C249" s="110"/>
      <c r="D249" s="113"/>
      <c r="E249" s="112"/>
      <c r="G249" s="113"/>
      <c r="H249" s="112"/>
      <c r="J249" s="103"/>
      <c r="K249" s="103"/>
    </row>
    <row r="250" spans="3:11" x14ac:dyDescent="0.25">
      <c r="C250" s="110"/>
      <c r="D250" s="113"/>
      <c r="E250" s="112"/>
      <c r="G250" s="113"/>
      <c r="H250" s="112"/>
      <c r="J250" s="103"/>
      <c r="K250" s="103"/>
    </row>
    <row r="251" spans="3:11" x14ac:dyDescent="0.25">
      <c r="C251" s="110"/>
      <c r="D251" s="113"/>
      <c r="E251" s="112"/>
      <c r="G251" s="113"/>
      <c r="H251" s="112"/>
      <c r="J251" s="103"/>
      <c r="K251" s="103"/>
    </row>
    <row r="252" spans="3:11" x14ac:dyDescent="0.25">
      <c r="C252" s="110"/>
      <c r="D252" s="113"/>
      <c r="E252" s="112"/>
      <c r="G252" s="113"/>
      <c r="H252" s="112"/>
      <c r="J252" s="103"/>
      <c r="K252" s="103"/>
    </row>
    <row r="253" spans="3:11" x14ac:dyDescent="0.25">
      <c r="C253" s="110"/>
      <c r="D253" s="113"/>
      <c r="E253" s="112"/>
      <c r="G253" s="113"/>
      <c r="H253" s="112"/>
      <c r="J253" s="103"/>
      <c r="K253" s="103"/>
    </row>
    <row r="254" spans="3:11" x14ac:dyDescent="0.25">
      <c r="C254" s="110"/>
      <c r="D254" s="113"/>
      <c r="E254" s="112"/>
      <c r="G254" s="113"/>
      <c r="H254" s="112"/>
      <c r="J254" s="103"/>
      <c r="K254" s="103"/>
    </row>
    <row r="255" spans="3:11" x14ac:dyDescent="0.25">
      <c r="C255" s="110"/>
      <c r="D255" s="113"/>
      <c r="E255" s="112"/>
      <c r="G255" s="113"/>
      <c r="H255" s="112"/>
      <c r="J255" s="103"/>
      <c r="K255" s="103"/>
    </row>
    <row r="256" spans="3:11" x14ac:dyDescent="0.25">
      <c r="C256" s="110"/>
      <c r="D256" s="113"/>
      <c r="E256" s="112"/>
      <c r="G256" s="113"/>
      <c r="H256" s="112"/>
      <c r="J256" s="103"/>
      <c r="K256" s="103"/>
    </row>
    <row r="257" spans="3:11" x14ac:dyDescent="0.25">
      <c r="C257" s="110"/>
      <c r="D257" s="113"/>
      <c r="E257" s="112"/>
      <c r="G257" s="113"/>
      <c r="H257" s="112"/>
      <c r="J257" s="103"/>
      <c r="K257" s="103"/>
    </row>
    <row r="258" spans="3:11" x14ac:dyDescent="0.25">
      <c r="C258" s="110"/>
      <c r="D258" s="113"/>
      <c r="E258" s="112"/>
      <c r="G258" s="113"/>
      <c r="H258" s="112"/>
      <c r="J258" s="103"/>
      <c r="K258" s="103"/>
    </row>
    <row r="259" spans="3:11" x14ac:dyDescent="0.25">
      <c r="C259" s="110"/>
      <c r="D259" s="113"/>
      <c r="E259" s="112"/>
      <c r="G259" s="113"/>
      <c r="H259" s="112"/>
      <c r="J259" s="103"/>
      <c r="K259" s="103"/>
    </row>
    <row r="260" spans="3:11" x14ac:dyDescent="0.25">
      <c r="C260" s="110"/>
      <c r="D260" s="113"/>
      <c r="E260" s="112"/>
      <c r="G260" s="113"/>
      <c r="H260" s="112"/>
      <c r="J260" s="103"/>
      <c r="K260" s="103"/>
    </row>
    <row r="261" spans="3:11" x14ac:dyDescent="0.25">
      <c r="C261" s="110"/>
      <c r="D261" s="113"/>
      <c r="E261" s="112"/>
      <c r="G261" s="113"/>
      <c r="H261" s="112"/>
      <c r="J261" s="103"/>
      <c r="K261" s="103"/>
    </row>
    <row r="262" spans="3:11" x14ac:dyDescent="0.25">
      <c r="C262" s="110"/>
      <c r="D262" s="113"/>
      <c r="E262" s="112"/>
      <c r="G262" s="113"/>
      <c r="H262" s="112"/>
      <c r="J262" s="103"/>
      <c r="K262" s="103"/>
    </row>
    <row r="263" spans="3:11" x14ac:dyDescent="0.25">
      <c r="C263" s="110"/>
      <c r="D263" s="113"/>
      <c r="E263" s="112"/>
      <c r="G263" s="113"/>
      <c r="H263" s="112"/>
      <c r="J263" s="103"/>
      <c r="K263" s="103"/>
    </row>
    <row r="264" spans="3:11" x14ac:dyDescent="0.25">
      <c r="C264" s="110"/>
      <c r="D264" s="113"/>
      <c r="E264" s="112"/>
      <c r="G264" s="113"/>
      <c r="H264" s="112"/>
      <c r="J264" s="103"/>
      <c r="K264" s="103"/>
    </row>
    <row r="265" spans="3:11" x14ac:dyDescent="0.25">
      <c r="C265" s="110"/>
      <c r="D265" s="113"/>
      <c r="E265" s="112"/>
      <c r="G265" s="113"/>
      <c r="H265" s="112"/>
      <c r="J265" s="103"/>
      <c r="K265" s="103"/>
    </row>
    <row r="266" spans="3:11" x14ac:dyDescent="0.25">
      <c r="C266" s="110"/>
      <c r="D266" s="113"/>
      <c r="E266" s="112"/>
      <c r="G266" s="113"/>
      <c r="H266" s="112"/>
      <c r="J266" s="103"/>
      <c r="K266" s="103"/>
    </row>
    <row r="267" spans="3:11" x14ac:dyDescent="0.25">
      <c r="C267" s="110"/>
      <c r="D267" s="113"/>
      <c r="E267" s="112"/>
      <c r="G267" s="113"/>
      <c r="H267" s="112"/>
      <c r="J267" s="103"/>
      <c r="K267" s="103"/>
    </row>
    <row r="268" spans="3:11" x14ac:dyDescent="0.25">
      <c r="C268" s="110"/>
      <c r="D268" s="113"/>
      <c r="E268" s="112"/>
      <c r="G268" s="113"/>
      <c r="H268" s="112"/>
      <c r="J268" s="103"/>
      <c r="K268" s="103"/>
    </row>
    <row r="269" spans="3:11" x14ac:dyDescent="0.25">
      <c r="C269" s="110"/>
      <c r="D269" s="113"/>
      <c r="E269" s="112"/>
      <c r="G269" s="113"/>
      <c r="H269" s="112"/>
      <c r="J269" s="103"/>
      <c r="K269" s="103"/>
    </row>
    <row r="270" spans="3:11" x14ac:dyDescent="0.25">
      <c r="C270" s="110"/>
      <c r="D270" s="113"/>
      <c r="E270" s="112"/>
      <c r="G270" s="113"/>
      <c r="H270" s="112"/>
      <c r="J270" s="103"/>
      <c r="K270" s="103"/>
    </row>
    <row r="271" spans="3:11" x14ac:dyDescent="0.25">
      <c r="C271" s="110"/>
      <c r="D271" s="113"/>
      <c r="E271" s="112"/>
      <c r="G271" s="113"/>
      <c r="H271" s="112"/>
      <c r="J271" s="103"/>
      <c r="K271" s="103"/>
    </row>
    <row r="272" spans="3:11" x14ac:dyDescent="0.25">
      <c r="C272" s="110"/>
      <c r="D272" s="113"/>
      <c r="E272" s="112"/>
      <c r="G272" s="113"/>
      <c r="H272" s="112"/>
      <c r="J272" s="103"/>
      <c r="K272" s="103"/>
    </row>
    <row r="273" spans="3:12" x14ac:dyDescent="0.25">
      <c r="C273" s="110"/>
      <c r="D273" s="113"/>
      <c r="E273" s="112"/>
      <c r="G273" s="113"/>
      <c r="H273" s="112"/>
      <c r="J273" s="103"/>
      <c r="K273" s="103"/>
    </row>
    <row r="274" spans="3:12" x14ac:dyDescent="0.25">
      <c r="C274" s="110"/>
      <c r="D274" s="113"/>
      <c r="E274" s="112"/>
      <c r="G274" s="113"/>
      <c r="H274" s="112"/>
      <c r="J274" s="103"/>
      <c r="K274" s="103"/>
    </row>
    <row r="275" spans="3:12" x14ac:dyDescent="0.25">
      <c r="C275" s="110"/>
      <c r="D275" s="113"/>
      <c r="E275" s="112"/>
      <c r="G275" s="113"/>
      <c r="H275" s="112"/>
      <c r="J275" s="103"/>
      <c r="K275" s="103"/>
    </row>
    <row r="276" spans="3:12" x14ac:dyDescent="0.25">
      <c r="C276" s="110"/>
      <c r="D276" s="113"/>
      <c r="E276" s="112"/>
      <c r="G276" s="113"/>
      <c r="H276" s="112"/>
      <c r="J276" s="103"/>
      <c r="K276" s="103"/>
    </row>
    <row r="277" spans="3:12" x14ac:dyDescent="0.25">
      <c r="C277" s="110"/>
      <c r="D277" s="113"/>
      <c r="E277" s="112"/>
      <c r="G277" s="113"/>
      <c r="H277" s="112"/>
      <c r="J277" s="103"/>
      <c r="K277" s="103"/>
    </row>
    <row r="278" spans="3:12" x14ac:dyDescent="0.25">
      <c r="C278" s="110"/>
      <c r="D278" s="113"/>
      <c r="E278" s="112"/>
      <c r="G278" s="113"/>
      <c r="H278" s="112"/>
      <c r="J278" s="103"/>
      <c r="K278" s="103"/>
    </row>
    <row r="279" spans="3:12" x14ac:dyDescent="0.25">
      <c r="C279" s="110"/>
      <c r="D279" s="113"/>
      <c r="E279" s="112"/>
      <c r="G279" s="113"/>
      <c r="H279" s="112"/>
      <c r="J279" s="103"/>
      <c r="K279" s="103"/>
    </row>
    <row r="280" spans="3:12" x14ac:dyDescent="0.25">
      <c r="C280" s="110"/>
      <c r="D280" s="113"/>
      <c r="E280" s="112"/>
      <c r="G280" s="113"/>
      <c r="H280" s="112"/>
      <c r="J280" s="103"/>
      <c r="K280" s="103"/>
    </row>
    <row r="281" spans="3:12" x14ac:dyDescent="0.25">
      <c r="C281" s="110"/>
      <c r="D281" s="113"/>
      <c r="E281" s="112"/>
      <c r="G281" s="113"/>
      <c r="H281" s="112"/>
      <c r="J281" s="103"/>
      <c r="K281" s="103"/>
      <c r="L281" s="103"/>
    </row>
    <row r="282" spans="3:12" x14ac:dyDescent="0.25">
      <c r="C282" s="110"/>
      <c r="D282" s="113"/>
      <c r="E282" s="112"/>
      <c r="G282" s="113"/>
      <c r="H282" s="112"/>
      <c r="J282" s="103"/>
      <c r="K282" s="103"/>
      <c r="L282" s="103"/>
    </row>
    <row r="283" spans="3:12" x14ac:dyDescent="0.25">
      <c r="C283" s="110"/>
      <c r="D283" s="113"/>
      <c r="E283" s="112"/>
      <c r="G283" s="113"/>
      <c r="H283" s="112"/>
      <c r="J283" s="103"/>
      <c r="K283" s="103"/>
      <c r="L283" s="103"/>
    </row>
    <row r="284" spans="3:12" x14ac:dyDescent="0.25">
      <c r="C284" s="110"/>
      <c r="D284" s="113"/>
      <c r="E284" s="112"/>
      <c r="G284" s="113"/>
      <c r="H284" s="112"/>
      <c r="J284" s="103"/>
      <c r="K284" s="103"/>
      <c r="L284" s="103"/>
    </row>
    <row r="285" spans="3:12" x14ac:dyDescent="0.25">
      <c r="C285" s="110"/>
      <c r="D285" s="113"/>
      <c r="E285" s="112"/>
      <c r="G285" s="113"/>
      <c r="H285" s="112"/>
      <c r="J285" s="103"/>
      <c r="K285" s="103"/>
      <c r="L285" s="103"/>
    </row>
    <row r="286" spans="3:12" x14ac:dyDescent="0.25">
      <c r="C286" s="110"/>
      <c r="D286" s="113"/>
      <c r="E286" s="112"/>
      <c r="G286" s="113"/>
      <c r="H286" s="112"/>
      <c r="J286" s="103"/>
      <c r="K286" s="103"/>
      <c r="L286" s="103"/>
    </row>
    <row r="287" spans="3:12" x14ac:dyDescent="0.25">
      <c r="C287" s="110"/>
      <c r="D287" s="113"/>
      <c r="E287" s="112"/>
      <c r="G287" s="113"/>
      <c r="H287" s="112"/>
      <c r="J287" s="103"/>
      <c r="K287" s="103"/>
      <c r="L287" s="103"/>
    </row>
    <row r="288" spans="3:12" x14ac:dyDescent="0.25">
      <c r="C288" s="110"/>
      <c r="D288" s="113"/>
      <c r="E288" s="112"/>
      <c r="G288" s="113"/>
      <c r="H288" s="112"/>
      <c r="J288" s="103"/>
      <c r="K288" s="103"/>
      <c r="L288" s="103"/>
    </row>
    <row r="289" spans="3:12" x14ac:dyDescent="0.25">
      <c r="C289" s="110"/>
      <c r="D289" s="113"/>
      <c r="E289" s="112"/>
      <c r="G289" s="113"/>
      <c r="H289" s="112"/>
      <c r="J289" s="103"/>
      <c r="K289" s="103"/>
      <c r="L289" s="103"/>
    </row>
    <row r="290" spans="3:12" x14ac:dyDescent="0.25">
      <c r="C290" s="110"/>
      <c r="D290" s="113"/>
      <c r="E290" s="112"/>
      <c r="G290" s="113"/>
      <c r="H290" s="112"/>
      <c r="J290" s="103"/>
      <c r="K290" s="103"/>
      <c r="L290" s="103"/>
    </row>
    <row r="291" spans="3:12" x14ac:dyDescent="0.25">
      <c r="C291" s="110"/>
      <c r="D291" s="113"/>
      <c r="E291" s="112"/>
      <c r="G291" s="113"/>
      <c r="H291" s="112"/>
      <c r="J291" s="103"/>
      <c r="K291" s="103"/>
      <c r="L291" s="103"/>
    </row>
    <row r="292" spans="3:12" x14ac:dyDescent="0.25">
      <c r="C292" s="110"/>
      <c r="D292" s="113"/>
      <c r="E292" s="112"/>
      <c r="G292" s="113"/>
      <c r="H292" s="112"/>
      <c r="J292" s="103"/>
      <c r="K292" s="103"/>
      <c r="L292" s="103"/>
    </row>
    <row r="293" spans="3:12" x14ac:dyDescent="0.25">
      <c r="C293" s="110"/>
      <c r="D293" s="113"/>
      <c r="E293" s="112"/>
      <c r="G293" s="113"/>
      <c r="H293" s="112"/>
      <c r="J293" s="103"/>
      <c r="K293" s="103"/>
      <c r="L293" s="103"/>
    </row>
    <row r="294" spans="3:12" x14ac:dyDescent="0.25">
      <c r="C294" s="110"/>
      <c r="D294" s="113"/>
      <c r="E294" s="112"/>
      <c r="G294" s="113"/>
      <c r="H294" s="112"/>
      <c r="K294" s="103"/>
      <c r="L294" s="103"/>
    </row>
    <row r="295" spans="3:12" x14ac:dyDescent="0.25">
      <c r="C295" s="110"/>
      <c r="D295" s="113"/>
      <c r="E295" s="112"/>
      <c r="G295" s="113"/>
      <c r="H295" s="112"/>
      <c r="K295" s="103"/>
      <c r="L295" s="103"/>
    </row>
    <row r="296" spans="3:12" x14ac:dyDescent="0.25">
      <c r="C296" s="110"/>
      <c r="D296" s="113"/>
      <c r="E296" s="112"/>
      <c r="G296" s="113"/>
      <c r="H296" s="112"/>
      <c r="K296" s="103"/>
      <c r="L296" s="103"/>
    </row>
    <row r="297" spans="3:12" x14ac:dyDescent="0.25">
      <c r="C297" s="110"/>
      <c r="D297" s="113"/>
      <c r="E297" s="112"/>
      <c r="G297" s="113"/>
      <c r="H297" s="112"/>
      <c r="K297" s="103"/>
      <c r="L297" s="103"/>
    </row>
    <row r="298" spans="3:12" x14ac:dyDescent="0.25">
      <c r="C298" s="110"/>
      <c r="D298" s="113"/>
      <c r="E298" s="112"/>
      <c r="G298" s="113"/>
      <c r="H298" s="112"/>
      <c r="K298" s="103"/>
      <c r="L298" s="103"/>
    </row>
    <row r="299" spans="3:12" x14ac:dyDescent="0.25">
      <c r="C299" s="110"/>
      <c r="D299" s="113"/>
      <c r="E299" s="112"/>
      <c r="G299" s="113"/>
      <c r="H299" s="112"/>
      <c r="K299" s="103"/>
      <c r="L299" s="103"/>
    </row>
    <row r="300" spans="3:12" x14ac:dyDescent="0.25">
      <c r="C300" s="110"/>
      <c r="D300" s="113"/>
      <c r="E300" s="112"/>
      <c r="G300" s="113"/>
      <c r="H300" s="112"/>
      <c r="K300" s="103"/>
      <c r="L300" s="103"/>
    </row>
    <row r="301" spans="3:12" x14ac:dyDescent="0.25">
      <c r="C301" s="110"/>
      <c r="D301" s="113"/>
      <c r="E301" s="112"/>
      <c r="G301" s="113"/>
      <c r="H301" s="112"/>
      <c r="K301" s="103"/>
      <c r="L301" s="103"/>
    </row>
    <row r="302" spans="3:12" x14ac:dyDescent="0.25">
      <c r="C302" s="110"/>
      <c r="D302" s="113"/>
      <c r="E302" s="112"/>
      <c r="G302" s="113"/>
      <c r="H302" s="112"/>
      <c r="K302" s="103"/>
      <c r="L302" s="103"/>
    </row>
    <row r="303" spans="3:12" x14ac:dyDescent="0.25">
      <c r="C303" s="110"/>
      <c r="D303" s="113"/>
      <c r="E303" s="112"/>
      <c r="G303" s="113"/>
      <c r="H303" s="112"/>
      <c r="K303" s="103"/>
      <c r="L303" s="103"/>
    </row>
    <row r="304" spans="3:12" x14ac:dyDescent="0.25">
      <c r="C304" s="110"/>
      <c r="D304" s="113"/>
      <c r="E304" s="112"/>
      <c r="G304" s="113"/>
      <c r="H304" s="112"/>
      <c r="K304" s="103"/>
    </row>
    <row r="305" spans="3:11" x14ac:dyDescent="0.25">
      <c r="C305" s="110"/>
      <c r="D305" s="113"/>
      <c r="E305" s="112"/>
      <c r="G305" s="113"/>
      <c r="H305" s="112"/>
      <c r="K305" s="103"/>
    </row>
    <row r="306" spans="3:11" x14ac:dyDescent="0.25">
      <c r="C306" s="110"/>
      <c r="D306" s="113"/>
      <c r="E306" s="112"/>
      <c r="G306" s="113"/>
      <c r="H306" s="112"/>
      <c r="K306" s="103"/>
    </row>
    <row r="307" spans="3:11" x14ac:dyDescent="0.25">
      <c r="C307" s="110"/>
      <c r="D307" s="113"/>
      <c r="E307" s="112"/>
      <c r="G307" s="113"/>
      <c r="H307" s="112"/>
      <c r="K307" s="103"/>
    </row>
    <row r="308" spans="3:11" x14ac:dyDescent="0.25">
      <c r="C308" s="110"/>
      <c r="D308" s="113"/>
      <c r="E308" s="112"/>
      <c r="G308" s="113"/>
      <c r="H308" s="112"/>
      <c r="K308" s="103"/>
    </row>
    <row r="309" spans="3:11" x14ac:dyDescent="0.25">
      <c r="C309" s="110"/>
      <c r="D309" s="113"/>
      <c r="E309" s="112"/>
      <c r="G309" s="113"/>
      <c r="H309" s="112"/>
      <c r="K309" s="103"/>
    </row>
    <row r="310" spans="3:11" x14ac:dyDescent="0.25">
      <c r="C310" s="110"/>
      <c r="D310" s="113"/>
      <c r="E310" s="112"/>
      <c r="G310" s="113"/>
      <c r="H310" s="112"/>
      <c r="K310" s="103"/>
    </row>
    <row r="311" spans="3:11" x14ac:dyDescent="0.25">
      <c r="C311" s="110"/>
      <c r="D311" s="113"/>
      <c r="E311" s="112"/>
      <c r="G311" s="113"/>
      <c r="H311" s="112"/>
      <c r="K311" s="103"/>
    </row>
    <row r="312" spans="3:11" x14ac:dyDescent="0.25">
      <c r="C312" s="110"/>
      <c r="D312" s="113"/>
      <c r="E312" s="112"/>
      <c r="G312" s="113"/>
      <c r="H312" s="112"/>
      <c r="K312" s="103"/>
    </row>
    <row r="313" spans="3:11" x14ac:dyDescent="0.25">
      <c r="C313" s="110"/>
      <c r="D313" s="113"/>
      <c r="E313" s="112"/>
      <c r="G313" s="113"/>
      <c r="H313" s="112"/>
      <c r="K313" s="103"/>
    </row>
    <row r="314" spans="3:11" x14ac:dyDescent="0.25">
      <c r="C314" s="110"/>
      <c r="D314" s="113"/>
      <c r="E314" s="112"/>
      <c r="G314" s="113"/>
      <c r="H314" s="112"/>
      <c r="K314" s="103"/>
    </row>
    <row r="315" spans="3:11" x14ac:dyDescent="0.25">
      <c r="C315" s="110"/>
      <c r="D315" s="113"/>
      <c r="E315" s="112"/>
      <c r="G315" s="113"/>
      <c r="H315" s="112"/>
      <c r="K315" s="103"/>
    </row>
    <row r="316" spans="3:11" x14ac:dyDescent="0.25">
      <c r="C316" s="110"/>
      <c r="D316" s="113"/>
      <c r="E316" s="112"/>
      <c r="G316" s="113"/>
      <c r="H316" s="112"/>
    </row>
    <row r="317" spans="3:11" x14ac:dyDescent="0.25">
      <c r="C317" s="110"/>
      <c r="D317" s="113"/>
      <c r="E317" s="112"/>
      <c r="G317" s="113"/>
      <c r="H317" s="112"/>
    </row>
    <row r="318" spans="3:11" x14ac:dyDescent="0.25">
      <c r="C318" s="110"/>
      <c r="D318" s="113"/>
      <c r="E318" s="112"/>
      <c r="G318" s="113"/>
      <c r="H318" s="112"/>
    </row>
    <row r="319" spans="3:11" x14ac:dyDescent="0.25">
      <c r="C319" s="110"/>
      <c r="D319" s="113"/>
      <c r="E319" s="112"/>
      <c r="G319" s="113"/>
      <c r="H319" s="112"/>
    </row>
    <row r="320" spans="3:11" x14ac:dyDescent="0.25">
      <c r="C320" s="110"/>
      <c r="D320" s="113"/>
      <c r="E320" s="112"/>
      <c r="G320" s="113"/>
      <c r="H320" s="112"/>
    </row>
    <row r="321" spans="3:8" x14ac:dyDescent="0.25">
      <c r="C321" s="110"/>
      <c r="D321" s="113"/>
      <c r="E321" s="112"/>
      <c r="G321" s="113"/>
      <c r="H321" s="112"/>
    </row>
    <row r="322" spans="3:8" x14ac:dyDescent="0.25">
      <c r="C322" s="110"/>
      <c r="D322" s="113"/>
      <c r="E322" s="112"/>
      <c r="G322" s="113"/>
      <c r="H322" s="112"/>
    </row>
  </sheetData>
  <mergeCells count="4">
    <mergeCell ref="F200:G200"/>
    <mergeCell ref="F132:G132"/>
    <mergeCell ref="F122:G122"/>
    <mergeCell ref="F109:G109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1D430-F54D-4A4E-B037-8C89FE5D596B}">
  <dimension ref="A1:AI145"/>
  <sheetViews>
    <sheetView workbookViewId="0">
      <selection activeCell="Q64" sqref="Q64"/>
    </sheetView>
  </sheetViews>
  <sheetFormatPr defaultRowHeight="14.3" x14ac:dyDescent="0.25"/>
  <cols>
    <col min="1" max="1" width="11.25" bestFit="1" customWidth="1"/>
    <col min="2" max="2" width="5.625" customWidth="1"/>
    <col min="3" max="3" width="12.5" bestFit="1" customWidth="1"/>
    <col min="4" max="4" width="5.625" customWidth="1"/>
    <col min="5" max="5" width="13.875" bestFit="1" customWidth="1"/>
    <col min="6" max="6" width="5.625" customWidth="1"/>
    <col min="7" max="7" width="14.125" bestFit="1" customWidth="1"/>
    <col min="8" max="8" width="5.625" customWidth="1"/>
    <col min="9" max="9" width="3.375" bestFit="1" customWidth="1"/>
    <col min="11" max="14" width="5.5" bestFit="1" customWidth="1"/>
    <col min="15" max="15" width="5.125" bestFit="1" customWidth="1"/>
    <col min="16" max="19" width="5.5" bestFit="1" customWidth="1"/>
    <col min="20" max="20" width="5.875" bestFit="1" customWidth="1"/>
    <col min="21" max="21" width="4.25" bestFit="1" customWidth="1"/>
    <col min="22" max="22" width="1.625" customWidth="1"/>
    <col min="24" max="24" width="4.5" bestFit="1" customWidth="1"/>
    <col min="25" max="27" width="5.5" bestFit="1" customWidth="1"/>
    <col min="28" max="28" width="5.125" bestFit="1" customWidth="1"/>
    <col min="29" max="31" width="5.5" bestFit="1" customWidth="1"/>
    <col min="32" max="32" width="4" bestFit="1" customWidth="1"/>
    <col min="33" max="33" width="5.125" bestFit="1" customWidth="1"/>
    <col min="34" max="34" width="5.875" bestFit="1" customWidth="1"/>
    <col min="35" max="35" width="3.75" bestFit="1" customWidth="1"/>
  </cols>
  <sheetData>
    <row r="1" spans="1:35" ht="14.95" customHeight="1" thickBot="1" x14ac:dyDescent="0.3">
      <c r="A1" s="474" t="s">
        <v>418</v>
      </c>
      <c r="J1" s="475" t="s">
        <v>614</v>
      </c>
      <c r="K1" s="604"/>
      <c r="L1" s="604"/>
      <c r="M1" s="604"/>
      <c r="N1" s="604"/>
      <c r="O1" s="604"/>
      <c r="P1" s="604"/>
      <c r="Q1" s="604"/>
      <c r="R1" s="604"/>
      <c r="S1" s="604"/>
      <c r="T1" s="604"/>
      <c r="U1" s="604"/>
      <c r="V1" s="604"/>
      <c r="W1" s="475" t="s">
        <v>615</v>
      </c>
      <c r="X1" s="604"/>
      <c r="Y1" s="604"/>
      <c r="Z1" s="604"/>
      <c r="AA1" s="604"/>
      <c r="AB1" s="604"/>
      <c r="AC1" s="604"/>
      <c r="AD1" s="604"/>
      <c r="AE1" s="604"/>
      <c r="AF1" s="604"/>
      <c r="AG1" s="604"/>
      <c r="AH1" s="604"/>
    </row>
    <row r="2" spans="1:35" ht="14.95" customHeight="1" thickBot="1" x14ac:dyDescent="0.3">
      <c r="A2" s="556" t="s">
        <v>73</v>
      </c>
      <c r="B2" s="557"/>
      <c r="C2" s="558" t="s">
        <v>750</v>
      </c>
      <c r="D2" s="558"/>
      <c r="E2" s="559" t="s">
        <v>616</v>
      </c>
      <c r="F2" s="559"/>
      <c r="G2" s="560" t="s">
        <v>751</v>
      </c>
      <c r="H2" s="560"/>
      <c r="J2" s="556"/>
      <c r="K2" s="561" t="s">
        <v>534</v>
      </c>
      <c r="L2" s="611" t="s">
        <v>617</v>
      </c>
      <c r="M2" s="615" t="s">
        <v>618</v>
      </c>
      <c r="N2" s="612" t="s">
        <v>619</v>
      </c>
      <c r="O2" s="126" t="s">
        <v>620</v>
      </c>
      <c r="P2" s="613" t="s">
        <v>621</v>
      </c>
      <c r="Q2" s="613" t="s">
        <v>622</v>
      </c>
      <c r="R2" s="562" t="s">
        <v>623</v>
      </c>
      <c r="S2" s="562" t="s">
        <v>624</v>
      </c>
      <c r="T2" s="614" t="s">
        <v>625</v>
      </c>
      <c r="U2" s="616" t="s">
        <v>626</v>
      </c>
      <c r="W2" s="556"/>
      <c r="X2" s="561" t="s">
        <v>534</v>
      </c>
      <c r="Y2" s="611" t="s">
        <v>617</v>
      </c>
      <c r="Z2" s="612" t="s">
        <v>618</v>
      </c>
      <c r="AA2" s="612" t="s">
        <v>619</v>
      </c>
      <c r="AB2" s="126" t="s">
        <v>620</v>
      </c>
      <c r="AC2" s="613" t="s">
        <v>621</v>
      </c>
      <c r="AD2" s="613" t="s">
        <v>622</v>
      </c>
      <c r="AE2" s="562" t="s">
        <v>623</v>
      </c>
      <c r="AF2" s="710" t="s">
        <v>624</v>
      </c>
      <c r="AG2" s="711"/>
      <c r="AH2" s="614" t="s">
        <v>625</v>
      </c>
      <c r="AI2" s="580" t="s">
        <v>21</v>
      </c>
    </row>
    <row r="3" spans="1:35" ht="14.95" customHeight="1" thickBot="1" x14ac:dyDescent="0.3">
      <c r="A3" s="608" t="s">
        <v>30</v>
      </c>
      <c r="B3" s="563">
        <v>48</v>
      </c>
      <c r="C3" s="564" t="s">
        <v>36</v>
      </c>
      <c r="D3" s="565">
        <v>3</v>
      </c>
      <c r="E3" s="566" t="s">
        <v>30</v>
      </c>
      <c r="F3" s="567">
        <v>8</v>
      </c>
      <c r="G3" s="568" t="s">
        <v>36</v>
      </c>
      <c r="H3" s="569">
        <v>0</v>
      </c>
      <c r="J3" s="606" t="s">
        <v>643</v>
      </c>
      <c r="K3" s="570">
        <v>6</v>
      </c>
      <c r="L3" s="571">
        <v>1</v>
      </c>
      <c r="M3" s="572">
        <v>2</v>
      </c>
      <c r="N3" s="573">
        <v>2</v>
      </c>
      <c r="O3" s="574">
        <f t="shared" ref="O3:O18" si="0">SUM(K3:N3)</f>
        <v>11</v>
      </c>
      <c r="P3" s="575"/>
      <c r="Q3" s="576">
        <v>3</v>
      </c>
      <c r="R3" s="577">
        <v>2</v>
      </c>
      <c r="S3" s="578">
        <v>2</v>
      </c>
      <c r="T3" s="579">
        <f t="shared" ref="T3:T18" si="1">SUM(P3:S3)</f>
        <v>7</v>
      </c>
      <c r="U3" s="580">
        <f t="shared" ref="U3:U18" si="2">SUM(O3+T3)</f>
        <v>18</v>
      </c>
      <c r="W3" s="581"/>
      <c r="X3" s="582" t="s">
        <v>627</v>
      </c>
      <c r="Y3" s="582" t="s">
        <v>627</v>
      </c>
      <c r="Z3" s="583" t="s">
        <v>627</v>
      </c>
      <c r="AA3" s="583" t="s">
        <v>627</v>
      </c>
      <c r="AB3" s="172" t="s">
        <v>53</v>
      </c>
      <c r="AC3" s="584" t="s">
        <v>627</v>
      </c>
      <c r="AD3" s="584" t="s">
        <v>627</v>
      </c>
      <c r="AE3" s="585" t="s">
        <v>627</v>
      </c>
      <c r="AF3" s="585" t="s">
        <v>627</v>
      </c>
      <c r="AG3" s="585" t="s">
        <v>628</v>
      </c>
      <c r="AH3" s="514"/>
      <c r="AI3" s="646"/>
    </row>
    <row r="4" spans="1:35" ht="14.95" customHeight="1" thickBot="1" x14ac:dyDescent="0.3">
      <c r="A4" s="608" t="s">
        <v>72</v>
      </c>
      <c r="B4" s="563">
        <v>43</v>
      </c>
      <c r="C4" s="564" t="s">
        <v>30</v>
      </c>
      <c r="D4" s="565">
        <v>3</v>
      </c>
      <c r="E4" s="566" t="s">
        <v>32</v>
      </c>
      <c r="F4" s="567">
        <v>8</v>
      </c>
      <c r="G4" s="568" t="s">
        <v>30</v>
      </c>
      <c r="H4" s="569">
        <v>0</v>
      </c>
      <c r="J4" s="606" t="s">
        <v>644</v>
      </c>
      <c r="K4" s="570"/>
      <c r="L4" s="571"/>
      <c r="M4" s="572"/>
      <c r="N4" s="573"/>
      <c r="O4" s="574">
        <f t="shared" si="0"/>
        <v>0</v>
      </c>
      <c r="P4" s="575"/>
      <c r="Q4" s="576"/>
      <c r="R4" s="577">
        <v>1</v>
      </c>
      <c r="S4" s="578"/>
      <c r="T4" s="579">
        <f t="shared" si="1"/>
        <v>1</v>
      </c>
      <c r="U4" s="580">
        <f t="shared" si="2"/>
        <v>1</v>
      </c>
      <c r="W4" s="606" t="s">
        <v>643</v>
      </c>
      <c r="X4" s="570"/>
      <c r="Y4" s="571">
        <v>1</v>
      </c>
      <c r="Z4" s="573"/>
      <c r="AA4" s="572"/>
      <c r="AB4" s="574">
        <f>SUM(W4:AA4)</f>
        <v>1</v>
      </c>
      <c r="AC4" s="575"/>
      <c r="AD4" s="576">
        <v>1</v>
      </c>
      <c r="AE4" s="577"/>
      <c r="AF4" s="577"/>
      <c r="AG4" s="578"/>
      <c r="AH4" s="579">
        <f t="shared" ref="AH4:AH19" si="3">SUM(AC4:AG4)</f>
        <v>1</v>
      </c>
      <c r="AI4" s="629">
        <f t="shared" ref="AI4" si="4">SUM(AB4+AH4-AG4)</f>
        <v>2</v>
      </c>
    </row>
    <row r="5" spans="1:35" ht="14.95" customHeight="1" thickBot="1" x14ac:dyDescent="0.3">
      <c r="A5" s="608" t="s">
        <v>36</v>
      </c>
      <c r="B5" s="563">
        <v>35</v>
      </c>
      <c r="C5" s="564" t="s">
        <v>72</v>
      </c>
      <c r="D5" s="565">
        <v>3</v>
      </c>
      <c r="E5" s="566" t="s">
        <v>36</v>
      </c>
      <c r="F5" s="567">
        <v>13</v>
      </c>
      <c r="G5" s="568" t="s">
        <v>33</v>
      </c>
      <c r="H5" s="569">
        <v>0</v>
      </c>
      <c r="J5" s="606" t="s">
        <v>645</v>
      </c>
      <c r="K5" s="570">
        <v>4</v>
      </c>
      <c r="L5" s="571">
        <v>7</v>
      </c>
      <c r="M5" s="572">
        <v>5</v>
      </c>
      <c r="N5" s="573">
        <v>5</v>
      </c>
      <c r="O5" s="574">
        <f t="shared" si="0"/>
        <v>21</v>
      </c>
      <c r="P5" s="575">
        <v>3</v>
      </c>
      <c r="Q5" s="576">
        <v>6</v>
      </c>
      <c r="R5" s="577">
        <v>2</v>
      </c>
      <c r="S5" s="578">
        <v>5</v>
      </c>
      <c r="T5" s="579">
        <f t="shared" si="1"/>
        <v>16</v>
      </c>
      <c r="U5" s="580">
        <f t="shared" si="2"/>
        <v>37</v>
      </c>
      <c r="W5" s="606" t="s">
        <v>644</v>
      </c>
      <c r="X5" s="570"/>
      <c r="Y5" s="571"/>
      <c r="Z5" s="573"/>
      <c r="AA5" s="572"/>
      <c r="AB5" s="574">
        <f t="shared" ref="AB5:AB19" si="5">SUM(W5:AA5)</f>
        <v>0</v>
      </c>
      <c r="AC5" s="575"/>
      <c r="AD5" s="576"/>
      <c r="AE5" s="577"/>
      <c r="AF5" s="577"/>
      <c r="AG5" s="578"/>
      <c r="AH5" s="579">
        <f t="shared" si="3"/>
        <v>0</v>
      </c>
      <c r="AI5" s="629">
        <f>SUM(AB5+AH5-AG5)</f>
        <v>0</v>
      </c>
    </row>
    <row r="6" spans="1:35" ht="14.95" customHeight="1" thickBot="1" x14ac:dyDescent="0.3">
      <c r="A6" s="608" t="s">
        <v>33</v>
      </c>
      <c r="B6" s="563">
        <v>35</v>
      </c>
      <c r="C6" s="564" t="s">
        <v>29</v>
      </c>
      <c r="D6" s="565">
        <v>2</v>
      </c>
      <c r="E6" s="566" t="s">
        <v>33</v>
      </c>
      <c r="F6" s="567">
        <v>15</v>
      </c>
      <c r="G6" s="568" t="s">
        <v>72</v>
      </c>
      <c r="H6" s="569">
        <v>0</v>
      </c>
      <c r="J6" s="606" t="s">
        <v>646</v>
      </c>
      <c r="K6" s="570">
        <v>6</v>
      </c>
      <c r="L6" s="571">
        <v>4</v>
      </c>
      <c r="M6" s="572">
        <v>5</v>
      </c>
      <c r="N6" s="573">
        <v>7</v>
      </c>
      <c r="O6" s="574">
        <f t="shared" si="0"/>
        <v>22</v>
      </c>
      <c r="P6" s="575">
        <v>7</v>
      </c>
      <c r="Q6" s="576">
        <v>8</v>
      </c>
      <c r="R6" s="577">
        <v>7</v>
      </c>
      <c r="S6" s="578">
        <v>4</v>
      </c>
      <c r="T6" s="579">
        <f t="shared" si="1"/>
        <v>26</v>
      </c>
      <c r="U6" s="580">
        <f t="shared" si="2"/>
        <v>48</v>
      </c>
      <c r="W6" s="606" t="s">
        <v>645</v>
      </c>
      <c r="X6" s="570"/>
      <c r="Y6" s="571"/>
      <c r="Z6" s="573">
        <v>1</v>
      </c>
      <c r="AA6" s="572">
        <v>1</v>
      </c>
      <c r="AB6" s="574">
        <f t="shared" si="5"/>
        <v>2</v>
      </c>
      <c r="AC6" s="575"/>
      <c r="AD6" s="576">
        <v>1</v>
      </c>
      <c r="AE6" s="577"/>
      <c r="AF6" s="577"/>
      <c r="AG6" s="578"/>
      <c r="AH6" s="579">
        <f t="shared" si="3"/>
        <v>1</v>
      </c>
      <c r="AI6" s="629">
        <f t="shared" ref="AI6:AI19" si="6">SUM(AB6+AH6-AG6)</f>
        <v>3</v>
      </c>
    </row>
    <row r="7" spans="1:35" ht="14.95" customHeight="1" thickBot="1" x14ac:dyDescent="0.3">
      <c r="A7" s="608" t="s">
        <v>95</v>
      </c>
      <c r="B7" s="563">
        <v>19</v>
      </c>
      <c r="C7" s="564" t="s">
        <v>33</v>
      </c>
      <c r="D7" s="565">
        <v>2</v>
      </c>
      <c r="E7" s="566" t="s">
        <v>35</v>
      </c>
      <c r="F7" s="567">
        <v>15</v>
      </c>
      <c r="G7" s="568" t="s">
        <v>32</v>
      </c>
      <c r="H7" s="569">
        <v>1</v>
      </c>
      <c r="J7" s="606" t="s">
        <v>647</v>
      </c>
      <c r="K7" s="570">
        <v>1</v>
      </c>
      <c r="L7" s="571">
        <v>1</v>
      </c>
      <c r="M7" s="572">
        <v>2</v>
      </c>
      <c r="N7" s="573">
        <v>1</v>
      </c>
      <c r="O7" s="574">
        <f t="shared" si="0"/>
        <v>5</v>
      </c>
      <c r="P7" s="575">
        <v>1</v>
      </c>
      <c r="Q7" s="576">
        <v>1</v>
      </c>
      <c r="R7" s="577"/>
      <c r="S7" s="578">
        <v>1</v>
      </c>
      <c r="T7" s="579">
        <f t="shared" ref="T7:T10" si="7">SUM(P7:S7)</f>
        <v>3</v>
      </c>
      <c r="U7" s="580">
        <f t="shared" ref="U7:U10" si="8">SUM(O7+T7)</f>
        <v>8</v>
      </c>
      <c r="W7" s="606" t="s">
        <v>646</v>
      </c>
      <c r="X7" s="570"/>
      <c r="Y7" s="571">
        <v>1</v>
      </c>
      <c r="Z7" s="573"/>
      <c r="AA7" s="572">
        <v>1</v>
      </c>
      <c r="AB7" s="574">
        <f t="shared" si="5"/>
        <v>2</v>
      </c>
      <c r="AC7" s="575">
        <v>1</v>
      </c>
      <c r="AD7" s="576"/>
      <c r="AE7" s="577"/>
      <c r="AF7" s="577"/>
      <c r="AG7" s="578"/>
      <c r="AH7" s="579">
        <f t="shared" si="3"/>
        <v>1</v>
      </c>
      <c r="AI7" s="629">
        <f t="shared" si="6"/>
        <v>3</v>
      </c>
    </row>
    <row r="8" spans="1:35" ht="14.95" customHeight="1" thickBot="1" x14ac:dyDescent="0.3">
      <c r="A8" s="608" t="s">
        <v>29</v>
      </c>
      <c r="B8" s="563">
        <v>18</v>
      </c>
      <c r="C8" s="564" t="s">
        <v>35</v>
      </c>
      <c r="D8" s="565">
        <v>2</v>
      </c>
      <c r="E8" s="566" t="s">
        <v>72</v>
      </c>
      <c r="F8" s="567">
        <v>16</v>
      </c>
      <c r="G8" s="568" t="s">
        <v>34</v>
      </c>
      <c r="H8" s="569">
        <v>1</v>
      </c>
      <c r="J8" s="606" t="s">
        <v>648</v>
      </c>
      <c r="K8" s="570">
        <v>4</v>
      </c>
      <c r="L8" s="571">
        <v>3</v>
      </c>
      <c r="M8" s="572">
        <v>5</v>
      </c>
      <c r="N8" s="573">
        <v>4</v>
      </c>
      <c r="O8" s="574">
        <f t="shared" si="0"/>
        <v>16</v>
      </c>
      <c r="P8" s="575">
        <v>3</v>
      </c>
      <c r="Q8" s="576">
        <v>5</v>
      </c>
      <c r="R8" s="577">
        <v>7</v>
      </c>
      <c r="S8" s="578">
        <v>4</v>
      </c>
      <c r="T8" s="579">
        <f t="shared" si="7"/>
        <v>19</v>
      </c>
      <c r="U8" s="580">
        <f t="shared" si="8"/>
        <v>35</v>
      </c>
      <c r="W8" s="606" t="s">
        <v>647</v>
      </c>
      <c r="X8" s="570"/>
      <c r="Y8" s="571"/>
      <c r="Z8" s="573"/>
      <c r="AA8" s="572">
        <v>1</v>
      </c>
      <c r="AB8" s="574">
        <f>SUM(W8:AA8)</f>
        <v>1</v>
      </c>
      <c r="AC8" s="575"/>
      <c r="AD8" s="576"/>
      <c r="AE8" s="577"/>
      <c r="AF8" s="577"/>
      <c r="AG8" s="578"/>
      <c r="AH8" s="579">
        <f t="shared" si="3"/>
        <v>0</v>
      </c>
      <c r="AI8" s="629">
        <f t="shared" si="6"/>
        <v>1</v>
      </c>
    </row>
    <row r="9" spans="1:35" ht="14.95" customHeight="1" thickBot="1" x14ac:dyDescent="0.3">
      <c r="A9" s="608" t="s">
        <v>32</v>
      </c>
      <c r="B9" s="563">
        <v>16</v>
      </c>
      <c r="C9" s="564" t="s">
        <v>32</v>
      </c>
      <c r="D9" s="565">
        <v>2</v>
      </c>
      <c r="E9" s="566" t="s">
        <v>34</v>
      </c>
      <c r="F9" s="567">
        <v>16</v>
      </c>
      <c r="G9" s="568" t="s">
        <v>29</v>
      </c>
      <c r="H9" s="569">
        <v>2</v>
      </c>
      <c r="J9" s="606" t="s">
        <v>649</v>
      </c>
      <c r="K9" s="570">
        <v>4</v>
      </c>
      <c r="L9" s="571">
        <v>1</v>
      </c>
      <c r="M9" s="572">
        <v>2</v>
      </c>
      <c r="N9" s="573">
        <v>3</v>
      </c>
      <c r="O9" s="574">
        <f t="shared" si="0"/>
        <v>10</v>
      </c>
      <c r="P9" s="575">
        <v>1</v>
      </c>
      <c r="Q9" s="576">
        <v>2</v>
      </c>
      <c r="R9" s="577">
        <v>2</v>
      </c>
      <c r="S9" s="578"/>
      <c r="T9" s="579">
        <f t="shared" si="7"/>
        <v>5</v>
      </c>
      <c r="U9" s="580">
        <f t="shared" si="8"/>
        <v>15</v>
      </c>
      <c r="W9" s="606" t="s">
        <v>648</v>
      </c>
      <c r="X9" s="570"/>
      <c r="Y9" s="571">
        <v>1</v>
      </c>
      <c r="Z9" s="573"/>
      <c r="AA9" s="572">
        <v>1</v>
      </c>
      <c r="AB9" s="574">
        <f t="shared" si="5"/>
        <v>2</v>
      </c>
      <c r="AC9" s="575"/>
      <c r="AD9" s="576"/>
      <c r="AE9" s="577"/>
      <c r="AF9" s="577"/>
      <c r="AG9" s="578"/>
      <c r="AH9" s="579">
        <f t="shared" si="3"/>
        <v>0</v>
      </c>
      <c r="AI9" s="629">
        <f t="shared" si="6"/>
        <v>2</v>
      </c>
    </row>
    <row r="10" spans="1:35" ht="14.95" customHeight="1" thickBot="1" x14ac:dyDescent="0.3">
      <c r="A10" s="608" t="s">
        <v>55</v>
      </c>
      <c r="B10" s="563">
        <v>16</v>
      </c>
      <c r="C10" s="564" t="s">
        <v>95</v>
      </c>
      <c r="D10" s="565">
        <v>2</v>
      </c>
      <c r="E10" s="566" t="s">
        <v>55</v>
      </c>
      <c r="F10" s="567">
        <v>16</v>
      </c>
      <c r="G10" s="568" t="s">
        <v>35</v>
      </c>
      <c r="H10" s="569">
        <v>2</v>
      </c>
      <c r="J10" s="606" t="s">
        <v>650</v>
      </c>
      <c r="K10" s="570"/>
      <c r="L10" s="571">
        <v>3</v>
      </c>
      <c r="M10" s="572">
        <v>3</v>
      </c>
      <c r="N10" s="573">
        <v>2</v>
      </c>
      <c r="O10" s="574">
        <f t="shared" si="0"/>
        <v>8</v>
      </c>
      <c r="P10" s="575">
        <v>2</v>
      </c>
      <c r="Q10" s="576">
        <v>1</v>
      </c>
      <c r="R10" s="577">
        <v>1</v>
      </c>
      <c r="S10" s="578">
        <v>4</v>
      </c>
      <c r="T10" s="579">
        <f t="shared" si="7"/>
        <v>8</v>
      </c>
      <c r="U10" s="580">
        <f t="shared" si="8"/>
        <v>16</v>
      </c>
      <c r="W10" s="606" t="s">
        <v>649</v>
      </c>
      <c r="X10" s="570"/>
      <c r="Y10" s="571"/>
      <c r="Z10" s="573"/>
      <c r="AA10" s="572">
        <v>2</v>
      </c>
      <c r="AB10" s="574">
        <f t="shared" si="5"/>
        <v>2</v>
      </c>
      <c r="AC10" s="575"/>
      <c r="AD10" s="576"/>
      <c r="AE10" s="577"/>
      <c r="AF10" s="577"/>
      <c r="AG10" s="578"/>
      <c r="AH10" s="579">
        <f t="shared" si="3"/>
        <v>0</v>
      </c>
      <c r="AI10" s="629">
        <f t="shared" si="6"/>
        <v>2</v>
      </c>
    </row>
    <row r="11" spans="1:35" ht="14.95" customHeight="1" thickBot="1" x14ac:dyDescent="0.3">
      <c r="A11" s="608" t="s">
        <v>35</v>
      </c>
      <c r="B11" s="563">
        <v>15</v>
      </c>
      <c r="C11" s="564" t="s">
        <v>34</v>
      </c>
      <c r="D11" s="565">
        <v>2</v>
      </c>
      <c r="E11" s="566" t="s">
        <v>31</v>
      </c>
      <c r="F11" s="567">
        <v>16</v>
      </c>
      <c r="G11" s="568" t="s">
        <v>99</v>
      </c>
      <c r="H11" s="569">
        <v>2</v>
      </c>
      <c r="J11" s="606" t="s">
        <v>651</v>
      </c>
      <c r="K11" s="570">
        <v>2</v>
      </c>
      <c r="L11" s="571"/>
      <c r="M11" s="572">
        <v>1</v>
      </c>
      <c r="N11" s="573"/>
      <c r="O11" s="574">
        <f t="shared" si="0"/>
        <v>3</v>
      </c>
      <c r="P11" s="575">
        <v>3</v>
      </c>
      <c r="Q11" s="576">
        <v>1</v>
      </c>
      <c r="R11" s="577">
        <v>3</v>
      </c>
      <c r="S11" s="578"/>
      <c r="T11" s="579">
        <f t="shared" ref="T11:T12" si="9">SUM(P11:S11)</f>
        <v>7</v>
      </c>
      <c r="U11" s="580">
        <f t="shared" ref="U11:U12" si="10">SUM(O11+T11)</f>
        <v>10</v>
      </c>
      <c r="W11" s="606" t="s">
        <v>650</v>
      </c>
      <c r="X11" s="570"/>
      <c r="Y11" s="571"/>
      <c r="Z11" s="573">
        <v>1</v>
      </c>
      <c r="AA11" s="572"/>
      <c r="AB11" s="574">
        <f t="shared" si="5"/>
        <v>1</v>
      </c>
      <c r="AC11" s="575"/>
      <c r="AD11" s="576"/>
      <c r="AE11" s="577">
        <v>1</v>
      </c>
      <c r="AF11" s="577"/>
      <c r="AG11" s="578">
        <v>1</v>
      </c>
      <c r="AH11" s="579">
        <f t="shared" si="3"/>
        <v>2</v>
      </c>
      <c r="AI11" s="629">
        <f t="shared" si="6"/>
        <v>2</v>
      </c>
    </row>
    <row r="12" spans="1:35" ht="14.95" customHeight="1" thickBot="1" x14ac:dyDescent="0.3">
      <c r="A12" s="608" t="s">
        <v>34</v>
      </c>
      <c r="B12" s="563">
        <v>15</v>
      </c>
      <c r="C12" s="564" t="s">
        <v>55</v>
      </c>
      <c r="D12" s="565">
        <v>2</v>
      </c>
      <c r="E12" s="566" t="s">
        <v>29</v>
      </c>
      <c r="F12" s="567">
        <v>19</v>
      </c>
      <c r="G12" s="568" t="s">
        <v>95</v>
      </c>
      <c r="H12" s="569">
        <v>2</v>
      </c>
      <c r="J12" s="606" t="s">
        <v>652</v>
      </c>
      <c r="K12" s="570"/>
      <c r="L12" s="571">
        <v>7</v>
      </c>
      <c r="M12" s="572">
        <v>5</v>
      </c>
      <c r="N12" s="573">
        <v>7</v>
      </c>
      <c r="O12" s="574">
        <f t="shared" si="0"/>
        <v>19</v>
      </c>
      <c r="P12" s="575">
        <v>7</v>
      </c>
      <c r="Q12" s="576">
        <v>5</v>
      </c>
      <c r="R12" s="577">
        <v>4</v>
      </c>
      <c r="S12" s="578">
        <v>6</v>
      </c>
      <c r="T12" s="579">
        <f t="shared" si="9"/>
        <v>22</v>
      </c>
      <c r="U12" s="580">
        <f t="shared" si="10"/>
        <v>41</v>
      </c>
      <c r="W12" s="606" t="s">
        <v>651</v>
      </c>
      <c r="X12" s="570"/>
      <c r="Y12" s="571"/>
      <c r="Z12" s="573"/>
      <c r="AA12" s="572"/>
      <c r="AB12" s="574">
        <f t="shared" si="5"/>
        <v>0</v>
      </c>
      <c r="AC12" s="575"/>
      <c r="AD12" s="576"/>
      <c r="AE12" s="577">
        <v>1</v>
      </c>
      <c r="AF12" s="577"/>
      <c r="AG12" s="578"/>
      <c r="AH12" s="579">
        <f t="shared" si="3"/>
        <v>1</v>
      </c>
      <c r="AI12" s="629">
        <f t="shared" si="6"/>
        <v>1</v>
      </c>
    </row>
    <row r="13" spans="1:35" ht="14.95" customHeight="1" thickBot="1" x14ac:dyDescent="0.3">
      <c r="A13" s="608" t="s">
        <v>99</v>
      </c>
      <c r="B13" s="563">
        <v>10</v>
      </c>
      <c r="C13" s="564" t="s">
        <v>166</v>
      </c>
      <c r="D13" s="565">
        <v>1</v>
      </c>
      <c r="E13" s="566" t="s">
        <v>99</v>
      </c>
      <c r="F13" s="567">
        <v>19</v>
      </c>
      <c r="G13" s="568" t="s">
        <v>55</v>
      </c>
      <c r="H13" s="569">
        <v>2</v>
      </c>
      <c r="J13" s="606" t="s">
        <v>653</v>
      </c>
      <c r="K13" s="570">
        <v>3</v>
      </c>
      <c r="L13" s="571">
        <v>2</v>
      </c>
      <c r="M13" s="572">
        <v>2</v>
      </c>
      <c r="N13" s="573"/>
      <c r="O13" s="574">
        <f t="shared" si="0"/>
        <v>7</v>
      </c>
      <c r="P13" s="575">
        <v>4</v>
      </c>
      <c r="Q13" s="576">
        <v>2</v>
      </c>
      <c r="R13" s="577">
        <v>1</v>
      </c>
      <c r="S13" s="578">
        <v>5</v>
      </c>
      <c r="T13" s="579">
        <f t="shared" si="1"/>
        <v>12</v>
      </c>
      <c r="U13" s="580">
        <f t="shared" si="2"/>
        <v>19</v>
      </c>
      <c r="W13" s="606" t="s">
        <v>652</v>
      </c>
      <c r="X13" s="570"/>
      <c r="Y13" s="571"/>
      <c r="Z13" s="573"/>
      <c r="AA13" s="572">
        <v>1</v>
      </c>
      <c r="AB13" s="574">
        <f t="shared" si="5"/>
        <v>1</v>
      </c>
      <c r="AC13" s="575">
        <v>1</v>
      </c>
      <c r="AD13" s="576">
        <v>1</v>
      </c>
      <c r="AE13" s="577"/>
      <c r="AF13" s="577"/>
      <c r="AG13" s="578"/>
      <c r="AH13" s="579">
        <f t="shared" si="3"/>
        <v>2</v>
      </c>
      <c r="AI13" s="629">
        <f t="shared" si="6"/>
        <v>3</v>
      </c>
    </row>
    <row r="14" spans="1:35" ht="14.95" customHeight="1" thickBot="1" x14ac:dyDescent="0.3">
      <c r="A14" s="608" t="s">
        <v>133</v>
      </c>
      <c r="B14" s="563">
        <v>9</v>
      </c>
      <c r="C14" s="564" t="s">
        <v>99</v>
      </c>
      <c r="D14" s="565">
        <v>1</v>
      </c>
      <c r="E14" s="566" t="s">
        <v>133</v>
      </c>
      <c r="F14" s="567">
        <v>20</v>
      </c>
      <c r="G14" s="568" t="s">
        <v>243</v>
      </c>
      <c r="H14" s="569">
        <v>3</v>
      </c>
      <c r="J14" s="606" t="s">
        <v>654</v>
      </c>
      <c r="K14" s="570"/>
      <c r="L14" s="571"/>
      <c r="M14" s="572"/>
      <c r="N14" s="573"/>
      <c r="O14" s="574">
        <f t="shared" si="0"/>
        <v>0</v>
      </c>
      <c r="P14" s="575"/>
      <c r="Q14" s="576"/>
      <c r="R14" s="577"/>
      <c r="S14" s="578"/>
      <c r="T14" s="579">
        <f t="shared" si="1"/>
        <v>0</v>
      </c>
      <c r="U14" s="580">
        <f t="shared" si="2"/>
        <v>0</v>
      </c>
      <c r="W14" s="606" t="s">
        <v>653</v>
      </c>
      <c r="X14" s="570"/>
      <c r="Y14" s="571"/>
      <c r="Z14" s="573"/>
      <c r="AA14" s="572">
        <v>1</v>
      </c>
      <c r="AB14" s="574">
        <f t="shared" si="5"/>
        <v>1</v>
      </c>
      <c r="AC14" s="575"/>
      <c r="AD14" s="576">
        <v>1</v>
      </c>
      <c r="AE14" s="577"/>
      <c r="AF14" s="577"/>
      <c r="AG14" s="578"/>
      <c r="AH14" s="579">
        <f t="shared" si="3"/>
        <v>1</v>
      </c>
      <c r="AI14" s="629">
        <f t="shared" si="6"/>
        <v>2</v>
      </c>
    </row>
    <row r="15" spans="1:35" ht="14.95" customHeight="1" thickBot="1" x14ac:dyDescent="0.3">
      <c r="A15" s="608" t="s">
        <v>166</v>
      </c>
      <c r="B15" s="563">
        <v>8</v>
      </c>
      <c r="C15" s="564" t="s">
        <v>133</v>
      </c>
      <c r="D15" s="565">
        <v>1</v>
      </c>
      <c r="E15" s="566" t="s">
        <v>166</v>
      </c>
      <c r="F15" s="567">
        <v>21</v>
      </c>
      <c r="G15" s="568" t="s">
        <v>166</v>
      </c>
      <c r="H15" s="569">
        <v>3</v>
      </c>
      <c r="J15" s="606" t="s">
        <v>655</v>
      </c>
      <c r="K15" s="570">
        <v>3</v>
      </c>
      <c r="L15" s="571">
        <v>1</v>
      </c>
      <c r="M15" s="572">
        <v>1</v>
      </c>
      <c r="N15" s="573">
        <v>2</v>
      </c>
      <c r="O15" s="574">
        <f t="shared" si="0"/>
        <v>7</v>
      </c>
      <c r="P15" s="575">
        <v>1</v>
      </c>
      <c r="Q15" s="576">
        <v>3</v>
      </c>
      <c r="R15" s="577">
        <v>1</v>
      </c>
      <c r="S15" s="578">
        <v>3</v>
      </c>
      <c r="T15" s="579">
        <f t="shared" si="1"/>
        <v>8</v>
      </c>
      <c r="U15" s="580">
        <f t="shared" si="2"/>
        <v>15</v>
      </c>
      <c r="W15" s="606" t="s">
        <v>654</v>
      </c>
      <c r="X15" s="570"/>
      <c r="Y15" s="571"/>
      <c r="Z15" s="573"/>
      <c r="AA15" s="572"/>
      <c r="AB15" s="574">
        <f t="shared" si="5"/>
        <v>0</v>
      </c>
      <c r="AC15" s="575"/>
      <c r="AD15" s="576"/>
      <c r="AE15" s="577"/>
      <c r="AF15" s="577"/>
      <c r="AG15" s="578"/>
      <c r="AH15" s="579">
        <f t="shared" si="3"/>
        <v>0</v>
      </c>
      <c r="AI15" s="629">
        <f t="shared" si="6"/>
        <v>0</v>
      </c>
    </row>
    <row r="16" spans="1:35" ht="14.95" customHeight="1" thickBot="1" x14ac:dyDescent="0.3">
      <c r="A16" s="608" t="s">
        <v>31</v>
      </c>
      <c r="B16" s="563">
        <v>6</v>
      </c>
      <c r="C16" s="564" t="s">
        <v>31</v>
      </c>
      <c r="D16" s="565">
        <v>1</v>
      </c>
      <c r="E16" s="566" t="s">
        <v>95</v>
      </c>
      <c r="F16" s="567">
        <v>21</v>
      </c>
      <c r="G16" s="568" t="s">
        <v>98</v>
      </c>
      <c r="H16" s="569">
        <v>3</v>
      </c>
      <c r="J16" s="606" t="s">
        <v>656</v>
      </c>
      <c r="K16" s="570"/>
      <c r="L16" s="571">
        <v>1</v>
      </c>
      <c r="M16" s="572">
        <v>2</v>
      </c>
      <c r="N16" s="573">
        <v>1</v>
      </c>
      <c r="O16" s="574">
        <f t="shared" si="0"/>
        <v>4</v>
      </c>
      <c r="P16" s="575">
        <v>1</v>
      </c>
      <c r="Q16" s="576">
        <v>1</v>
      </c>
      <c r="R16" s="577"/>
      <c r="S16" s="578">
        <v>3</v>
      </c>
      <c r="T16" s="579">
        <f t="shared" si="1"/>
        <v>5</v>
      </c>
      <c r="U16" s="580">
        <f t="shared" si="2"/>
        <v>9</v>
      </c>
      <c r="W16" s="606" t="s">
        <v>655</v>
      </c>
      <c r="X16" s="570"/>
      <c r="Y16" s="571"/>
      <c r="Z16" s="573"/>
      <c r="AA16" s="572"/>
      <c r="AB16" s="574">
        <f t="shared" si="5"/>
        <v>0</v>
      </c>
      <c r="AC16" s="575">
        <v>1</v>
      </c>
      <c r="AD16" s="576">
        <v>1</v>
      </c>
      <c r="AE16" s="577"/>
      <c r="AF16" s="577"/>
      <c r="AG16" s="578"/>
      <c r="AH16" s="579">
        <f t="shared" si="3"/>
        <v>2</v>
      </c>
      <c r="AI16" s="629">
        <f t="shared" si="6"/>
        <v>2</v>
      </c>
    </row>
    <row r="17" spans="1:35" ht="14.95" customHeight="1" thickBot="1" x14ac:dyDescent="0.3">
      <c r="A17" s="608" t="s">
        <v>243</v>
      </c>
      <c r="B17" s="563">
        <v>1</v>
      </c>
      <c r="C17" s="564" t="s">
        <v>243</v>
      </c>
      <c r="D17" s="565">
        <v>0</v>
      </c>
      <c r="E17" s="566" t="s">
        <v>98</v>
      </c>
      <c r="F17" s="567">
        <v>35</v>
      </c>
      <c r="G17" s="568" t="s">
        <v>133</v>
      </c>
      <c r="H17" s="569">
        <v>3</v>
      </c>
      <c r="J17" s="606" t="s">
        <v>55</v>
      </c>
      <c r="K17" s="570">
        <v>1</v>
      </c>
      <c r="L17" s="571">
        <v>1</v>
      </c>
      <c r="M17" s="572">
        <v>5</v>
      </c>
      <c r="N17" s="573"/>
      <c r="O17" s="574">
        <f t="shared" si="0"/>
        <v>7</v>
      </c>
      <c r="P17" s="575">
        <v>3</v>
      </c>
      <c r="Q17" s="576">
        <v>2</v>
      </c>
      <c r="R17" s="577">
        <v>2</v>
      </c>
      <c r="S17" s="578">
        <v>2</v>
      </c>
      <c r="T17" s="579">
        <f t="shared" si="1"/>
        <v>9</v>
      </c>
      <c r="U17" s="580">
        <f t="shared" si="2"/>
        <v>16</v>
      </c>
      <c r="W17" s="606" t="s">
        <v>656</v>
      </c>
      <c r="X17" s="570"/>
      <c r="Y17" s="571"/>
      <c r="Z17" s="573"/>
      <c r="AA17" s="572"/>
      <c r="AB17" s="574">
        <f t="shared" si="5"/>
        <v>0</v>
      </c>
      <c r="AC17" s="575"/>
      <c r="AD17" s="576">
        <v>1</v>
      </c>
      <c r="AE17" s="577"/>
      <c r="AF17" s="577"/>
      <c r="AG17" s="578"/>
      <c r="AH17" s="579">
        <f t="shared" si="3"/>
        <v>1</v>
      </c>
      <c r="AI17" s="629">
        <f t="shared" si="6"/>
        <v>1</v>
      </c>
    </row>
    <row r="18" spans="1:35" ht="14.95" customHeight="1" thickBot="1" x14ac:dyDescent="0.3">
      <c r="A18" s="608" t="s">
        <v>98</v>
      </c>
      <c r="B18" s="563">
        <v>0</v>
      </c>
      <c r="C18" s="564" t="s">
        <v>98</v>
      </c>
      <c r="D18" s="565">
        <v>0</v>
      </c>
      <c r="E18" s="566" t="s">
        <v>243</v>
      </c>
      <c r="F18" s="567">
        <v>36</v>
      </c>
      <c r="G18" s="568" t="s">
        <v>31</v>
      </c>
      <c r="H18" s="569">
        <v>3</v>
      </c>
      <c r="J18" s="606" t="s">
        <v>657</v>
      </c>
      <c r="K18" s="570">
        <v>1</v>
      </c>
      <c r="L18" s="571">
        <v>2</v>
      </c>
      <c r="M18" s="572"/>
      <c r="N18" s="573"/>
      <c r="O18" s="574">
        <f t="shared" si="0"/>
        <v>3</v>
      </c>
      <c r="P18" s="575">
        <v>2</v>
      </c>
      <c r="Q18" s="576"/>
      <c r="R18" s="577"/>
      <c r="S18" s="578">
        <v>1</v>
      </c>
      <c r="T18" s="579">
        <f t="shared" si="1"/>
        <v>3</v>
      </c>
      <c r="U18" s="580">
        <f t="shared" si="2"/>
        <v>6</v>
      </c>
      <c r="W18" s="606" t="s">
        <v>55</v>
      </c>
      <c r="X18" s="570"/>
      <c r="Y18" s="571"/>
      <c r="Z18" s="573">
        <v>1</v>
      </c>
      <c r="AA18" s="572"/>
      <c r="AB18" s="574">
        <f t="shared" si="5"/>
        <v>1</v>
      </c>
      <c r="AC18" s="575"/>
      <c r="AD18" s="576"/>
      <c r="AE18" s="577">
        <v>1</v>
      </c>
      <c r="AF18" s="577"/>
      <c r="AG18" s="578"/>
      <c r="AH18" s="579">
        <f t="shared" si="3"/>
        <v>1</v>
      </c>
      <c r="AI18" s="629">
        <f t="shared" si="6"/>
        <v>2</v>
      </c>
    </row>
    <row r="19" spans="1:35" ht="14.95" customHeight="1" thickBot="1" x14ac:dyDescent="0.3">
      <c r="A19" s="546"/>
      <c r="B19" s="73">
        <f>SUM(B3:B18)</f>
        <v>294</v>
      </c>
      <c r="C19" s="73"/>
      <c r="D19" s="73">
        <f>SUM(D3:D18)</f>
        <v>27</v>
      </c>
      <c r="E19" s="73"/>
      <c r="F19" s="73">
        <f>SUM(F3:F18)</f>
        <v>294</v>
      </c>
      <c r="G19" s="73"/>
      <c r="H19" s="73">
        <f>SUM(H3:H18)</f>
        <v>27</v>
      </c>
      <c r="U19" s="580">
        <f>SUM(U3:U18)</f>
        <v>294</v>
      </c>
      <c r="W19" s="606" t="s">
        <v>657</v>
      </c>
      <c r="X19" s="570"/>
      <c r="Y19" s="571"/>
      <c r="Z19" s="573"/>
      <c r="AA19" s="572"/>
      <c r="AB19" s="574">
        <f t="shared" si="5"/>
        <v>0</v>
      </c>
      <c r="AC19" s="575">
        <v>1</v>
      </c>
      <c r="AD19" s="576"/>
      <c r="AE19" s="577"/>
      <c r="AF19" s="577"/>
      <c r="AG19" s="578"/>
      <c r="AH19" s="579">
        <f t="shared" si="3"/>
        <v>1</v>
      </c>
      <c r="AI19" s="629">
        <f t="shared" si="6"/>
        <v>1</v>
      </c>
    </row>
    <row r="20" spans="1:35" ht="14.95" customHeight="1" thickBot="1" x14ac:dyDescent="0.3">
      <c r="A20" s="712"/>
      <c r="B20" s="712"/>
      <c r="C20" s="712"/>
      <c r="D20" s="696"/>
      <c r="E20" s="696"/>
      <c r="F20" s="696"/>
      <c r="G20" s="332"/>
      <c r="H20" s="332"/>
      <c r="J20" s="475" t="s">
        <v>629</v>
      </c>
      <c r="K20" s="604"/>
      <c r="L20" s="604"/>
      <c r="M20" s="604"/>
      <c r="N20" s="604"/>
      <c r="O20" s="604"/>
      <c r="P20" s="604"/>
      <c r="Q20" s="604"/>
      <c r="R20" s="604"/>
      <c r="S20" s="604"/>
      <c r="T20" s="604"/>
      <c r="AG20">
        <f>SUM(AG4:AG19)</f>
        <v>1</v>
      </c>
      <c r="AI20" s="629">
        <f>SUM(AI4:AI19)</f>
        <v>27</v>
      </c>
    </row>
    <row r="21" spans="1:35" ht="14.95" customHeight="1" thickBot="1" x14ac:dyDescent="0.3">
      <c r="A21" s="326" t="s">
        <v>120</v>
      </c>
      <c r="B21" s="586" t="s">
        <v>630</v>
      </c>
      <c r="C21" s="586"/>
      <c r="D21" s="586" t="s">
        <v>21</v>
      </c>
      <c r="E21" s="586"/>
      <c r="F21" s="586" t="s">
        <v>631</v>
      </c>
      <c r="G21" s="73"/>
      <c r="H21" s="327" t="s">
        <v>632</v>
      </c>
      <c r="I21" s="587" t="s">
        <v>633</v>
      </c>
      <c r="J21" s="556"/>
      <c r="K21" s="561" t="s">
        <v>534</v>
      </c>
      <c r="L21" s="561" t="s">
        <v>617</v>
      </c>
      <c r="M21" s="612" t="s">
        <v>618</v>
      </c>
      <c r="N21" s="612" t="s">
        <v>619</v>
      </c>
      <c r="O21" s="126" t="s">
        <v>620</v>
      </c>
      <c r="P21" s="613" t="s">
        <v>621</v>
      </c>
      <c r="Q21" s="613" t="s">
        <v>622</v>
      </c>
      <c r="R21" s="562" t="s">
        <v>623</v>
      </c>
      <c r="S21" s="562" t="s">
        <v>624</v>
      </c>
      <c r="T21" s="614" t="s">
        <v>625</v>
      </c>
      <c r="U21" s="616" t="s">
        <v>626</v>
      </c>
      <c r="W21" s="475" t="s">
        <v>634</v>
      </c>
      <c r="X21" s="604"/>
      <c r="Y21" s="604"/>
      <c r="Z21" s="604"/>
      <c r="AA21" s="604"/>
    </row>
    <row r="22" spans="1:35" ht="14.95" customHeight="1" thickBot="1" x14ac:dyDescent="0.3">
      <c r="A22" s="327" t="s">
        <v>123</v>
      </c>
      <c r="B22" s="648">
        <v>72</v>
      </c>
      <c r="C22" s="13"/>
      <c r="D22" s="648">
        <v>7</v>
      </c>
      <c r="E22" s="13"/>
      <c r="F22" s="13">
        <v>72</v>
      </c>
      <c r="G22" s="13"/>
      <c r="H22" s="13">
        <v>7</v>
      </c>
      <c r="I22" s="547">
        <v>0</v>
      </c>
      <c r="J22" s="606" t="s">
        <v>643</v>
      </c>
      <c r="K22" s="570">
        <v>2</v>
      </c>
      <c r="L22" s="571">
        <v>3</v>
      </c>
      <c r="M22" s="573">
        <v>1</v>
      </c>
      <c r="N22" s="572">
        <v>3</v>
      </c>
      <c r="O22" s="574">
        <f t="shared" ref="O22:O37" si="11">SUM(K22:N22)</f>
        <v>9</v>
      </c>
      <c r="P22" s="575">
        <v>3</v>
      </c>
      <c r="Q22" s="576">
        <v>3</v>
      </c>
      <c r="R22" s="577">
        <v>2</v>
      </c>
      <c r="S22" s="578">
        <v>2</v>
      </c>
      <c r="T22" s="579">
        <f t="shared" ref="T22:T37" si="12">SUM(P22:S22)</f>
        <v>10</v>
      </c>
      <c r="U22" s="580">
        <f>SUM(O22+T22)</f>
        <v>19</v>
      </c>
      <c r="W22" s="556"/>
      <c r="X22" s="561" t="s">
        <v>534</v>
      </c>
      <c r="Y22" s="611" t="s">
        <v>617</v>
      </c>
      <c r="Z22" s="612" t="s">
        <v>618</v>
      </c>
      <c r="AA22" s="612" t="s">
        <v>619</v>
      </c>
      <c r="AB22" s="126" t="s">
        <v>620</v>
      </c>
      <c r="AC22" s="613" t="s">
        <v>621</v>
      </c>
      <c r="AD22" s="613" t="s">
        <v>622</v>
      </c>
      <c r="AE22" s="562" t="s">
        <v>623</v>
      </c>
      <c r="AF22" s="710" t="s">
        <v>624</v>
      </c>
      <c r="AG22" s="711"/>
      <c r="AH22" s="614" t="s">
        <v>625</v>
      </c>
      <c r="AI22" s="580" t="s">
        <v>21</v>
      </c>
    </row>
    <row r="23" spans="1:35" ht="14.95" customHeight="1" thickBot="1" x14ac:dyDescent="0.3">
      <c r="A23" s="73">
        <v>2</v>
      </c>
      <c r="B23" s="647">
        <v>87</v>
      </c>
      <c r="C23" s="13"/>
      <c r="D23" s="647">
        <v>11</v>
      </c>
      <c r="E23" s="13"/>
      <c r="F23" s="13">
        <v>87</v>
      </c>
      <c r="G23" s="13"/>
      <c r="H23" s="13">
        <v>11</v>
      </c>
      <c r="I23" s="547">
        <v>0</v>
      </c>
      <c r="J23" s="606" t="s">
        <v>644</v>
      </c>
      <c r="K23" s="570">
        <v>4</v>
      </c>
      <c r="L23" s="571">
        <v>5</v>
      </c>
      <c r="M23" s="573">
        <v>5</v>
      </c>
      <c r="N23" s="572">
        <v>4</v>
      </c>
      <c r="O23" s="574">
        <f t="shared" si="11"/>
        <v>18</v>
      </c>
      <c r="P23" s="575">
        <v>5</v>
      </c>
      <c r="Q23" s="576">
        <v>4</v>
      </c>
      <c r="R23" s="577">
        <v>3</v>
      </c>
      <c r="S23" s="578">
        <v>6</v>
      </c>
      <c r="T23" s="579">
        <f t="shared" si="12"/>
        <v>18</v>
      </c>
      <c r="U23" s="580">
        <f t="shared" ref="U23:U37" si="13">SUM(O23+T23)</f>
        <v>36</v>
      </c>
      <c r="W23" s="581"/>
      <c r="X23" s="582" t="s">
        <v>627</v>
      </c>
      <c r="Y23" s="582" t="s">
        <v>627</v>
      </c>
      <c r="Z23" s="583" t="s">
        <v>627</v>
      </c>
      <c r="AA23" s="583" t="s">
        <v>627</v>
      </c>
      <c r="AB23" s="172" t="s">
        <v>53</v>
      </c>
      <c r="AC23" s="584" t="s">
        <v>627</v>
      </c>
      <c r="AD23" s="584" t="s">
        <v>627</v>
      </c>
      <c r="AE23" s="585" t="s">
        <v>627</v>
      </c>
      <c r="AF23" s="585" t="s">
        <v>627</v>
      </c>
      <c r="AG23" s="585" t="s">
        <v>628</v>
      </c>
      <c r="AH23" s="514"/>
      <c r="AI23" s="580"/>
    </row>
    <row r="24" spans="1:35" ht="14.95" customHeight="1" thickBot="1" x14ac:dyDescent="0.3">
      <c r="A24" s="73">
        <v>3</v>
      </c>
      <c r="B24" s="648">
        <v>72</v>
      </c>
      <c r="C24" s="183"/>
      <c r="D24" s="183">
        <v>9</v>
      </c>
      <c r="E24" s="183"/>
      <c r="F24" s="183">
        <v>72</v>
      </c>
      <c r="G24" s="183"/>
      <c r="H24" s="183">
        <v>9</v>
      </c>
      <c r="I24" s="588">
        <v>0</v>
      </c>
      <c r="J24" s="606" t="s">
        <v>645</v>
      </c>
      <c r="K24" s="570">
        <v>2</v>
      </c>
      <c r="L24" s="571">
        <v>1</v>
      </c>
      <c r="M24" s="573">
        <v>3</v>
      </c>
      <c r="N24" s="572"/>
      <c r="O24" s="574">
        <f t="shared" si="11"/>
        <v>6</v>
      </c>
      <c r="P24" s="575">
        <v>2</v>
      </c>
      <c r="Q24" s="576">
        <v>2</v>
      </c>
      <c r="R24" s="577">
        <v>2</v>
      </c>
      <c r="S24" s="578">
        <v>1</v>
      </c>
      <c r="T24" s="579">
        <f t="shared" si="12"/>
        <v>7</v>
      </c>
      <c r="U24" s="580">
        <f t="shared" si="13"/>
        <v>13</v>
      </c>
      <c r="W24" s="606" t="s">
        <v>643</v>
      </c>
      <c r="X24" s="570"/>
      <c r="Y24" s="571"/>
      <c r="Z24" s="573"/>
      <c r="AA24" s="572"/>
      <c r="AB24" s="574">
        <f t="shared" ref="AB24:AB39" si="14">SUM(W24:AA24)</f>
        <v>0</v>
      </c>
      <c r="AC24" s="575">
        <v>1</v>
      </c>
      <c r="AD24" s="576"/>
      <c r="AE24" s="577">
        <v>1</v>
      </c>
      <c r="AF24" s="577"/>
      <c r="AG24" s="578"/>
      <c r="AH24" s="579">
        <f t="shared" ref="AH24:AH39" si="15">SUM(AC24:AG24)</f>
        <v>2</v>
      </c>
      <c r="AI24" s="629">
        <f t="shared" ref="AI24" si="16">SUM(AB24+AH24-AG24)</f>
        <v>2</v>
      </c>
    </row>
    <row r="25" spans="1:35" ht="14.95" customHeight="1" thickBot="1" x14ac:dyDescent="0.3">
      <c r="A25" s="327" t="s">
        <v>642</v>
      </c>
      <c r="B25" s="183">
        <v>30</v>
      </c>
      <c r="C25" s="183"/>
      <c r="D25" s="598" t="s">
        <v>100</v>
      </c>
      <c r="E25" s="183"/>
      <c r="F25" s="183">
        <v>30</v>
      </c>
      <c r="G25" s="183"/>
      <c r="H25" s="598" t="s">
        <v>100</v>
      </c>
      <c r="I25" s="588">
        <v>0</v>
      </c>
      <c r="J25" s="606" t="s">
        <v>646</v>
      </c>
      <c r="K25" s="570">
        <v>2</v>
      </c>
      <c r="L25" s="571"/>
      <c r="M25" s="573">
        <v>2</v>
      </c>
      <c r="N25" s="572"/>
      <c r="O25" s="574">
        <f t="shared" si="11"/>
        <v>4</v>
      </c>
      <c r="P25" s="575"/>
      <c r="Q25" s="576">
        <v>2</v>
      </c>
      <c r="R25" s="577"/>
      <c r="S25" s="578">
        <v>2</v>
      </c>
      <c r="T25" s="579">
        <f t="shared" si="12"/>
        <v>4</v>
      </c>
      <c r="U25" s="580">
        <f t="shared" si="13"/>
        <v>8</v>
      </c>
      <c r="W25" s="606" t="s">
        <v>644</v>
      </c>
      <c r="X25" s="570"/>
      <c r="Y25" s="571">
        <v>1</v>
      </c>
      <c r="Z25" s="573">
        <v>1</v>
      </c>
      <c r="AA25" s="572">
        <v>1</v>
      </c>
      <c r="AB25" s="574">
        <f t="shared" si="14"/>
        <v>3</v>
      </c>
      <c r="AC25" s="575"/>
      <c r="AD25" s="576"/>
      <c r="AE25" s="577"/>
      <c r="AF25" s="577"/>
      <c r="AG25" s="578"/>
      <c r="AH25" s="579">
        <f t="shared" si="15"/>
        <v>0</v>
      </c>
      <c r="AI25" s="629">
        <f>SUM(AB25+AH25-AG25)</f>
        <v>3</v>
      </c>
    </row>
    <row r="26" spans="1:35" ht="14.95" customHeight="1" thickBot="1" x14ac:dyDescent="0.3">
      <c r="A26" s="327" t="s">
        <v>640</v>
      </c>
      <c r="B26" s="598">
        <v>16</v>
      </c>
      <c r="C26" s="598"/>
      <c r="D26" s="598" t="s">
        <v>100</v>
      </c>
      <c r="E26" s="598"/>
      <c r="F26" s="598">
        <v>16</v>
      </c>
      <c r="G26" s="598"/>
      <c r="H26" s="598" t="s">
        <v>100</v>
      </c>
      <c r="I26" s="588">
        <v>0</v>
      </c>
      <c r="J26" s="606" t="s">
        <v>647</v>
      </c>
      <c r="K26" s="570">
        <v>4</v>
      </c>
      <c r="L26" s="571">
        <v>2</v>
      </c>
      <c r="M26" s="573">
        <v>2</v>
      </c>
      <c r="N26" s="572">
        <v>1</v>
      </c>
      <c r="O26" s="574">
        <f t="shared" si="11"/>
        <v>9</v>
      </c>
      <c r="P26" s="575">
        <v>3</v>
      </c>
      <c r="Q26" s="576">
        <v>4</v>
      </c>
      <c r="R26" s="577">
        <v>2</v>
      </c>
      <c r="S26" s="578">
        <v>3</v>
      </c>
      <c r="T26" s="579">
        <f t="shared" ref="T26:T29" si="17">SUM(P26:S26)</f>
        <v>12</v>
      </c>
      <c r="U26" s="580">
        <f>SUM(O26+T26)</f>
        <v>21</v>
      </c>
      <c r="W26" s="606" t="s">
        <v>645</v>
      </c>
      <c r="X26" s="570"/>
      <c r="Y26" s="571"/>
      <c r="Z26" s="573"/>
      <c r="AA26" s="572"/>
      <c r="AB26" s="574">
        <f t="shared" si="14"/>
        <v>0</v>
      </c>
      <c r="AC26" s="575"/>
      <c r="AD26" s="576"/>
      <c r="AE26" s="577"/>
      <c r="AF26" s="577"/>
      <c r="AG26" s="578"/>
      <c r="AH26" s="579">
        <f t="shared" si="15"/>
        <v>0</v>
      </c>
      <c r="AI26" s="629">
        <f t="shared" ref="AI26:AI39" si="18">SUM(AB26+AH26-AG26)</f>
        <v>0</v>
      </c>
    </row>
    <row r="27" spans="1:35" ht="14.95" customHeight="1" thickBot="1" x14ac:dyDescent="0.3">
      <c r="A27" s="327" t="s">
        <v>833</v>
      </c>
      <c r="B27" s="598">
        <v>10</v>
      </c>
      <c r="C27" s="598"/>
      <c r="D27" s="598" t="s">
        <v>100</v>
      </c>
      <c r="E27" s="598"/>
      <c r="F27" s="598">
        <v>10</v>
      </c>
      <c r="G27" s="598"/>
      <c r="H27" s="598" t="s">
        <v>100</v>
      </c>
      <c r="I27" s="588">
        <v>0</v>
      </c>
      <c r="J27" s="606" t="s">
        <v>648</v>
      </c>
      <c r="K27" s="570">
        <v>2</v>
      </c>
      <c r="L27" s="571">
        <v>1</v>
      </c>
      <c r="M27" s="573">
        <v>1</v>
      </c>
      <c r="N27" s="572">
        <v>3</v>
      </c>
      <c r="O27" s="574">
        <f t="shared" si="11"/>
        <v>7</v>
      </c>
      <c r="P27" s="575">
        <v>2</v>
      </c>
      <c r="Q27" s="576">
        <v>2</v>
      </c>
      <c r="R27" s="577">
        <v>2</v>
      </c>
      <c r="S27" s="578">
        <v>2</v>
      </c>
      <c r="T27" s="579">
        <f t="shared" si="17"/>
        <v>8</v>
      </c>
      <c r="U27" s="580">
        <f t="shared" ref="U27:U29" si="19">SUM(O27+T27)</f>
        <v>15</v>
      </c>
      <c r="W27" s="606" t="s">
        <v>646</v>
      </c>
      <c r="X27" s="570"/>
      <c r="Y27" s="571"/>
      <c r="Z27" s="573"/>
      <c r="AA27" s="572"/>
      <c r="AB27" s="574">
        <f t="shared" si="14"/>
        <v>0</v>
      </c>
      <c r="AC27" s="575"/>
      <c r="AD27" s="576"/>
      <c r="AE27" s="577"/>
      <c r="AF27" s="577"/>
      <c r="AG27" s="578"/>
      <c r="AH27" s="579">
        <f t="shared" si="15"/>
        <v>0</v>
      </c>
      <c r="AI27" s="629">
        <f t="shared" si="18"/>
        <v>0</v>
      </c>
    </row>
    <row r="28" spans="1:35" ht="14.95" customHeight="1" thickBot="1" x14ac:dyDescent="0.3">
      <c r="A28" s="327" t="s">
        <v>426</v>
      </c>
      <c r="B28" s="598">
        <v>7</v>
      </c>
      <c r="C28" s="598"/>
      <c r="D28" s="598" t="s">
        <v>100</v>
      </c>
      <c r="E28" s="598"/>
      <c r="F28" s="598">
        <v>7</v>
      </c>
      <c r="G28" s="598"/>
      <c r="H28" s="598" t="s">
        <v>100</v>
      </c>
      <c r="I28" s="588">
        <v>0</v>
      </c>
      <c r="J28" s="606" t="s">
        <v>649</v>
      </c>
      <c r="K28" s="570"/>
      <c r="L28" s="571">
        <v>2</v>
      </c>
      <c r="M28" s="573">
        <v>3</v>
      </c>
      <c r="N28" s="572">
        <v>1</v>
      </c>
      <c r="O28" s="574">
        <f t="shared" si="11"/>
        <v>6</v>
      </c>
      <c r="P28" s="575">
        <v>2</v>
      </c>
      <c r="Q28" s="576">
        <v>3</v>
      </c>
      <c r="R28" s="577">
        <v>1</v>
      </c>
      <c r="S28" s="578">
        <v>3</v>
      </c>
      <c r="T28" s="579">
        <f t="shared" si="17"/>
        <v>9</v>
      </c>
      <c r="U28" s="580">
        <f t="shared" si="19"/>
        <v>15</v>
      </c>
      <c r="W28" s="606" t="s">
        <v>647</v>
      </c>
      <c r="X28" s="570"/>
      <c r="Y28" s="571"/>
      <c r="Z28" s="573">
        <v>1</v>
      </c>
      <c r="AA28" s="572"/>
      <c r="AB28" s="574">
        <f t="shared" si="14"/>
        <v>1</v>
      </c>
      <c r="AC28" s="575">
        <v>1</v>
      </c>
      <c r="AD28" s="576">
        <v>1</v>
      </c>
      <c r="AE28" s="577"/>
      <c r="AF28" s="577"/>
      <c r="AG28" s="578"/>
      <c r="AH28" s="579">
        <f t="shared" si="15"/>
        <v>2</v>
      </c>
      <c r="AI28" s="629">
        <f t="shared" si="18"/>
        <v>3</v>
      </c>
    </row>
    <row r="29" spans="1:35" ht="14.95" customHeight="1" thickBot="1" x14ac:dyDescent="0.3">
      <c r="A29" s="599" t="s">
        <v>53</v>
      </c>
      <c r="B29" s="73">
        <f>SUM(B22:B28)</f>
        <v>294</v>
      </c>
      <c r="C29" s="73"/>
      <c r="D29" s="73">
        <f>SUM(D22:D25)</f>
        <v>27</v>
      </c>
      <c r="E29" s="73"/>
      <c r="F29" s="73">
        <f>SUM(F22:F28)</f>
        <v>294</v>
      </c>
      <c r="G29" s="73"/>
      <c r="H29" s="73">
        <f>SUM(H22:H25)</f>
        <v>27</v>
      </c>
      <c r="I29" s="587">
        <f>SUM(I22:I28)</f>
        <v>0</v>
      </c>
      <c r="J29" s="606" t="s">
        <v>650</v>
      </c>
      <c r="K29" s="570">
        <v>1</v>
      </c>
      <c r="L29" s="571">
        <v>1</v>
      </c>
      <c r="M29" s="573">
        <v>2</v>
      </c>
      <c r="N29" s="572"/>
      <c r="O29" s="574">
        <f t="shared" si="11"/>
        <v>4</v>
      </c>
      <c r="P29" s="575">
        <v>1</v>
      </c>
      <c r="Q29" s="576">
        <v>1</v>
      </c>
      <c r="R29" s="577">
        <v>1</v>
      </c>
      <c r="S29" s="578">
        <v>1</v>
      </c>
      <c r="T29" s="579">
        <f t="shared" si="17"/>
        <v>4</v>
      </c>
      <c r="U29" s="580">
        <f t="shared" si="19"/>
        <v>8</v>
      </c>
      <c r="W29" s="606" t="s">
        <v>648</v>
      </c>
      <c r="X29" s="570"/>
      <c r="Y29" s="571"/>
      <c r="Z29" s="573"/>
      <c r="AA29" s="572"/>
      <c r="AB29" s="574">
        <f t="shared" si="14"/>
        <v>0</v>
      </c>
      <c r="AC29" s="575"/>
      <c r="AD29" s="576"/>
      <c r="AE29" s="577"/>
      <c r="AF29" s="577"/>
      <c r="AG29" s="578"/>
      <c r="AH29" s="579">
        <f t="shared" si="15"/>
        <v>0</v>
      </c>
      <c r="AI29" s="629">
        <f t="shared" si="18"/>
        <v>0</v>
      </c>
    </row>
    <row r="30" spans="1:35" ht="14.95" customHeight="1" thickBot="1" x14ac:dyDescent="0.35">
      <c r="A30" s="681" t="s">
        <v>28</v>
      </c>
      <c r="J30" s="606" t="s">
        <v>651</v>
      </c>
      <c r="K30" s="570">
        <v>2</v>
      </c>
      <c r="L30" s="571">
        <v>3</v>
      </c>
      <c r="M30" s="573">
        <v>2</v>
      </c>
      <c r="N30" s="572">
        <v>5</v>
      </c>
      <c r="O30" s="574">
        <f t="shared" si="11"/>
        <v>12</v>
      </c>
      <c r="P30" s="575">
        <v>1</v>
      </c>
      <c r="Q30" s="576">
        <v>1</v>
      </c>
      <c r="R30" s="577">
        <v>2</v>
      </c>
      <c r="S30" s="578">
        <v>3</v>
      </c>
      <c r="T30" s="579">
        <f t="shared" ref="T30:T31" si="20">SUM(P30:S30)</f>
        <v>7</v>
      </c>
      <c r="U30" s="580">
        <f t="shared" ref="U30:U31" si="21">SUM(O30+T30)</f>
        <v>19</v>
      </c>
      <c r="W30" s="606" t="s">
        <v>649</v>
      </c>
      <c r="X30" s="570"/>
      <c r="Y30" s="571"/>
      <c r="Z30" s="573"/>
      <c r="AA30" s="572"/>
      <c r="AB30" s="574">
        <f t="shared" si="14"/>
        <v>0</v>
      </c>
      <c r="AC30" s="575"/>
      <c r="AD30" s="576">
        <v>2</v>
      </c>
      <c r="AE30" s="577"/>
      <c r="AF30" s="577"/>
      <c r="AG30" s="578"/>
      <c r="AH30" s="579">
        <f t="shared" si="15"/>
        <v>2</v>
      </c>
      <c r="AI30" s="629">
        <f t="shared" si="18"/>
        <v>2</v>
      </c>
    </row>
    <row r="31" spans="1:35" ht="14.95" customHeight="1" thickBot="1" x14ac:dyDescent="0.3">
      <c r="J31" s="606" t="s">
        <v>652</v>
      </c>
      <c r="K31" s="570">
        <v>3</v>
      </c>
      <c r="L31" s="571">
        <v>2</v>
      </c>
      <c r="M31" s="573">
        <v>1</v>
      </c>
      <c r="N31" s="572">
        <v>1</v>
      </c>
      <c r="O31" s="574">
        <f t="shared" si="11"/>
        <v>7</v>
      </c>
      <c r="P31" s="575">
        <v>3</v>
      </c>
      <c r="Q31" s="576"/>
      <c r="R31" s="577">
        <v>3</v>
      </c>
      <c r="S31" s="578">
        <v>3</v>
      </c>
      <c r="T31" s="579">
        <f t="shared" si="20"/>
        <v>9</v>
      </c>
      <c r="U31" s="580">
        <f t="shared" si="21"/>
        <v>16</v>
      </c>
      <c r="W31" s="606" t="s">
        <v>650</v>
      </c>
      <c r="X31" s="570"/>
      <c r="Y31" s="571"/>
      <c r="Z31" s="573"/>
      <c r="AA31" s="572"/>
      <c r="AB31" s="574">
        <f t="shared" si="14"/>
        <v>0</v>
      </c>
      <c r="AC31" s="575"/>
      <c r="AD31" s="576">
        <v>1</v>
      </c>
      <c r="AE31" s="577"/>
      <c r="AF31" s="577"/>
      <c r="AG31" s="578"/>
      <c r="AH31" s="579">
        <f t="shared" si="15"/>
        <v>1</v>
      </c>
      <c r="AI31" s="629">
        <f t="shared" si="18"/>
        <v>1</v>
      </c>
    </row>
    <row r="32" spans="1:35" ht="14.95" customHeight="1" thickBot="1" x14ac:dyDescent="0.3">
      <c r="J32" s="606" t="s">
        <v>653</v>
      </c>
      <c r="K32" s="570">
        <v>1</v>
      </c>
      <c r="L32" s="571">
        <v>1</v>
      </c>
      <c r="M32" s="573">
        <v>4</v>
      </c>
      <c r="N32" s="572">
        <v>2</v>
      </c>
      <c r="O32" s="574">
        <f t="shared" si="11"/>
        <v>8</v>
      </c>
      <c r="P32" s="575">
        <v>5</v>
      </c>
      <c r="Q32" s="576">
        <v>2</v>
      </c>
      <c r="R32" s="577">
        <v>3</v>
      </c>
      <c r="S32" s="578">
        <v>3</v>
      </c>
      <c r="T32" s="579">
        <f t="shared" si="12"/>
        <v>13</v>
      </c>
      <c r="U32" s="580">
        <f t="shared" si="13"/>
        <v>21</v>
      </c>
      <c r="W32" s="606" t="s">
        <v>651</v>
      </c>
      <c r="X32" s="570"/>
      <c r="Y32" s="571"/>
      <c r="Z32" s="573"/>
      <c r="AA32" s="572">
        <v>2</v>
      </c>
      <c r="AB32" s="574">
        <f t="shared" si="14"/>
        <v>2</v>
      </c>
      <c r="AC32" s="575"/>
      <c r="AD32" s="576"/>
      <c r="AE32" s="577"/>
      <c r="AF32" s="577"/>
      <c r="AG32" s="578"/>
      <c r="AH32" s="579">
        <f t="shared" si="15"/>
        <v>0</v>
      </c>
      <c r="AI32" s="629">
        <f t="shared" si="18"/>
        <v>2</v>
      </c>
    </row>
    <row r="33" spans="1:35" ht="14.95" customHeight="1" thickBot="1" x14ac:dyDescent="0.3">
      <c r="J33" s="606" t="s">
        <v>654</v>
      </c>
      <c r="K33" s="570">
        <v>6</v>
      </c>
      <c r="L33" s="571">
        <v>4</v>
      </c>
      <c r="M33" s="573">
        <v>7</v>
      </c>
      <c r="N33" s="572">
        <v>2</v>
      </c>
      <c r="O33" s="574">
        <f t="shared" si="11"/>
        <v>19</v>
      </c>
      <c r="P33" s="575">
        <v>3</v>
      </c>
      <c r="Q33" s="576">
        <v>4</v>
      </c>
      <c r="R33" s="577">
        <v>4</v>
      </c>
      <c r="S33" s="578">
        <v>5</v>
      </c>
      <c r="T33" s="579">
        <f t="shared" si="12"/>
        <v>16</v>
      </c>
      <c r="U33" s="580">
        <f t="shared" si="13"/>
        <v>35</v>
      </c>
      <c r="W33" s="606" t="s">
        <v>652</v>
      </c>
      <c r="X33" s="570"/>
      <c r="Y33" s="571"/>
      <c r="Z33" s="573"/>
      <c r="AA33" s="572"/>
      <c r="AB33" s="574">
        <f t="shared" si="14"/>
        <v>0</v>
      </c>
      <c r="AC33" s="575"/>
      <c r="AD33" s="576"/>
      <c r="AE33" s="577"/>
      <c r="AF33" s="577"/>
      <c r="AG33" s="578"/>
      <c r="AH33" s="579">
        <f t="shared" si="15"/>
        <v>0</v>
      </c>
      <c r="AI33" s="629">
        <f t="shared" si="18"/>
        <v>0</v>
      </c>
    </row>
    <row r="34" spans="1:35" ht="14.95" customHeight="1" thickBot="1" x14ac:dyDescent="0.3">
      <c r="J34" s="606" t="s">
        <v>655</v>
      </c>
      <c r="K34" s="570"/>
      <c r="L34" s="571">
        <v>2</v>
      </c>
      <c r="M34" s="573">
        <v>3</v>
      </c>
      <c r="N34" s="572">
        <v>4</v>
      </c>
      <c r="O34" s="574">
        <f t="shared" si="11"/>
        <v>9</v>
      </c>
      <c r="P34" s="575">
        <v>1</v>
      </c>
      <c r="Q34" s="576">
        <v>2</v>
      </c>
      <c r="R34" s="577">
        <v>2</v>
      </c>
      <c r="S34" s="578">
        <v>2</v>
      </c>
      <c r="T34" s="579">
        <f t="shared" si="12"/>
        <v>7</v>
      </c>
      <c r="U34" s="580">
        <f t="shared" si="13"/>
        <v>16</v>
      </c>
      <c r="W34" s="606" t="s">
        <v>653</v>
      </c>
      <c r="X34" s="570"/>
      <c r="Y34" s="571"/>
      <c r="Z34" s="573"/>
      <c r="AA34" s="572">
        <v>1</v>
      </c>
      <c r="AB34" s="574">
        <f t="shared" si="14"/>
        <v>1</v>
      </c>
      <c r="AC34" s="575"/>
      <c r="AD34" s="576"/>
      <c r="AE34" s="577">
        <v>1</v>
      </c>
      <c r="AF34" s="577"/>
      <c r="AG34" s="578">
        <v>1</v>
      </c>
      <c r="AH34" s="579">
        <f t="shared" si="15"/>
        <v>2</v>
      </c>
      <c r="AI34" s="629">
        <f t="shared" si="18"/>
        <v>2</v>
      </c>
    </row>
    <row r="35" spans="1:35" ht="14.95" customHeight="1" thickBot="1" x14ac:dyDescent="0.3">
      <c r="J35" s="606" t="s">
        <v>656</v>
      </c>
      <c r="K35" s="570">
        <v>2</v>
      </c>
      <c r="L35" s="571">
        <v>3</v>
      </c>
      <c r="M35" s="573">
        <v>1</v>
      </c>
      <c r="N35" s="572">
        <v>2</v>
      </c>
      <c r="O35" s="574">
        <f t="shared" si="11"/>
        <v>8</v>
      </c>
      <c r="P35" s="575">
        <v>4</v>
      </c>
      <c r="Q35" s="576">
        <v>3</v>
      </c>
      <c r="R35" s="577">
        <v>4</v>
      </c>
      <c r="S35" s="578">
        <v>1</v>
      </c>
      <c r="T35" s="579">
        <f t="shared" si="12"/>
        <v>12</v>
      </c>
      <c r="U35" s="580">
        <f t="shared" si="13"/>
        <v>20</v>
      </c>
      <c r="W35" s="606" t="s">
        <v>654</v>
      </c>
      <c r="X35" s="570"/>
      <c r="Y35" s="571">
        <v>2</v>
      </c>
      <c r="Z35" s="573">
        <v>1</v>
      </c>
      <c r="AA35" s="572"/>
      <c r="AB35" s="574">
        <f t="shared" si="14"/>
        <v>3</v>
      </c>
      <c r="AC35" s="575"/>
      <c r="AD35" s="576"/>
      <c r="AE35" s="577"/>
      <c r="AF35" s="577"/>
      <c r="AG35" s="578"/>
      <c r="AH35" s="579">
        <f t="shared" si="15"/>
        <v>0</v>
      </c>
      <c r="AI35" s="629">
        <f t="shared" si="18"/>
        <v>3</v>
      </c>
    </row>
    <row r="36" spans="1:35" ht="14.95" customHeight="1" thickBot="1" x14ac:dyDescent="0.3">
      <c r="A36" s="599" t="s">
        <v>53</v>
      </c>
      <c r="J36" s="606" t="s">
        <v>55</v>
      </c>
      <c r="K36" s="570">
        <v>2</v>
      </c>
      <c r="L36" s="571">
        <v>1</v>
      </c>
      <c r="M36" s="573"/>
      <c r="N36" s="572">
        <v>3</v>
      </c>
      <c r="O36" s="574">
        <f t="shared" si="11"/>
        <v>6</v>
      </c>
      <c r="P36" s="575">
        <v>2</v>
      </c>
      <c r="Q36" s="576">
        <v>5</v>
      </c>
      <c r="R36" s="577">
        <v>1</v>
      </c>
      <c r="S36" s="578">
        <v>2</v>
      </c>
      <c r="T36" s="579">
        <f t="shared" si="12"/>
        <v>10</v>
      </c>
      <c r="U36" s="580">
        <f t="shared" si="13"/>
        <v>16</v>
      </c>
      <c r="W36" s="606" t="s">
        <v>655</v>
      </c>
      <c r="X36" s="570"/>
      <c r="Y36" s="571"/>
      <c r="Z36" s="573"/>
      <c r="AA36" s="572"/>
      <c r="AB36" s="574">
        <f t="shared" si="14"/>
        <v>0</v>
      </c>
      <c r="AC36" s="575"/>
      <c r="AD36" s="576">
        <v>1</v>
      </c>
      <c r="AE36" s="577"/>
      <c r="AF36" s="577"/>
      <c r="AG36" s="578"/>
      <c r="AH36" s="579">
        <f t="shared" si="15"/>
        <v>1</v>
      </c>
      <c r="AI36" s="629">
        <f t="shared" si="18"/>
        <v>1</v>
      </c>
    </row>
    <row r="37" spans="1:35" ht="14.95" customHeight="1" thickBot="1" x14ac:dyDescent="0.3">
      <c r="J37" s="606" t="s">
        <v>657</v>
      </c>
      <c r="K37" s="570">
        <v>2</v>
      </c>
      <c r="L37" s="571">
        <v>3</v>
      </c>
      <c r="M37" s="573">
        <v>3</v>
      </c>
      <c r="N37" s="572">
        <v>3</v>
      </c>
      <c r="O37" s="574">
        <f t="shared" si="11"/>
        <v>11</v>
      </c>
      <c r="P37" s="575">
        <v>2</v>
      </c>
      <c r="Q37" s="576">
        <v>1</v>
      </c>
      <c r="R37" s="577">
        <v>1</v>
      </c>
      <c r="S37" s="578">
        <v>1</v>
      </c>
      <c r="T37" s="579">
        <f t="shared" si="12"/>
        <v>5</v>
      </c>
      <c r="U37" s="580">
        <f t="shared" si="13"/>
        <v>16</v>
      </c>
      <c r="W37" s="606" t="s">
        <v>656</v>
      </c>
      <c r="X37" s="570"/>
      <c r="Y37" s="571"/>
      <c r="Z37" s="573"/>
      <c r="AA37" s="572">
        <v>1</v>
      </c>
      <c r="AB37" s="574">
        <f t="shared" si="14"/>
        <v>1</v>
      </c>
      <c r="AC37" s="575">
        <v>1</v>
      </c>
      <c r="AD37" s="576"/>
      <c r="AE37" s="577">
        <v>1</v>
      </c>
      <c r="AF37" s="577"/>
      <c r="AG37" s="578"/>
      <c r="AH37" s="579">
        <f t="shared" si="15"/>
        <v>2</v>
      </c>
      <c r="AI37" s="629">
        <f t="shared" si="18"/>
        <v>3</v>
      </c>
    </row>
    <row r="38" spans="1:35" ht="14.95" customHeight="1" thickBot="1" x14ac:dyDescent="0.3">
      <c r="J38" s="546"/>
      <c r="U38" s="580">
        <f>SUM(U22:U37)</f>
        <v>294</v>
      </c>
      <c r="W38" s="606" t="s">
        <v>55</v>
      </c>
      <c r="X38" s="570"/>
      <c r="Y38" s="571"/>
      <c r="Z38" s="573"/>
      <c r="AA38" s="572">
        <v>1</v>
      </c>
      <c r="AB38" s="574">
        <f t="shared" si="14"/>
        <v>1</v>
      </c>
      <c r="AC38" s="575"/>
      <c r="AD38" s="576">
        <v>1</v>
      </c>
      <c r="AE38" s="577"/>
      <c r="AF38" s="577"/>
      <c r="AG38" s="578"/>
      <c r="AH38" s="579">
        <f t="shared" si="15"/>
        <v>1</v>
      </c>
      <c r="AI38" s="629">
        <f t="shared" si="18"/>
        <v>2</v>
      </c>
    </row>
    <row r="39" spans="1:35" ht="14.95" customHeight="1" thickBot="1" x14ac:dyDescent="0.3">
      <c r="J39" s="475" t="s">
        <v>635</v>
      </c>
      <c r="K39" s="604"/>
      <c r="L39" s="604"/>
      <c r="M39" s="604"/>
      <c r="N39" s="604"/>
      <c r="O39" s="604"/>
      <c r="P39" s="604"/>
      <c r="Q39" s="604"/>
      <c r="R39" s="475"/>
      <c r="S39" s="604"/>
      <c r="T39" s="604"/>
      <c r="U39" s="13"/>
      <c r="W39" s="606" t="s">
        <v>657</v>
      </c>
      <c r="X39" s="570"/>
      <c r="Y39" s="571"/>
      <c r="Z39" s="573"/>
      <c r="AA39" s="572">
        <v>2</v>
      </c>
      <c r="AB39" s="574">
        <f t="shared" si="14"/>
        <v>2</v>
      </c>
      <c r="AC39" s="575">
        <v>1</v>
      </c>
      <c r="AD39" s="576"/>
      <c r="AE39" s="577"/>
      <c r="AF39" s="577"/>
      <c r="AG39" s="578"/>
      <c r="AH39" s="579">
        <f t="shared" si="15"/>
        <v>1</v>
      </c>
      <c r="AI39" s="629">
        <f t="shared" si="18"/>
        <v>3</v>
      </c>
    </row>
    <row r="40" spans="1:35" ht="14.95" customHeight="1" thickBot="1" x14ac:dyDescent="0.3">
      <c r="J40" s="556"/>
      <c r="K40" s="589" t="s">
        <v>621</v>
      </c>
      <c r="L40" s="589" t="s">
        <v>622</v>
      </c>
      <c r="M40" s="590" t="s">
        <v>623</v>
      </c>
      <c r="N40" s="590" t="s">
        <v>624</v>
      </c>
      <c r="O40" s="591" t="s">
        <v>636</v>
      </c>
      <c r="P40" s="592"/>
      <c r="Q40" s="593"/>
      <c r="W40" s="712"/>
      <c r="X40" s="696"/>
      <c r="Y40" s="696"/>
      <c r="Z40" s="696"/>
      <c r="AA40" s="696"/>
      <c r="AB40" s="696"/>
      <c r="AC40" s="696"/>
      <c r="AD40" s="696"/>
      <c r="AE40" s="696"/>
      <c r="AF40" s="696"/>
      <c r="AG40">
        <f>SUM(AG24:AG39)</f>
        <v>1</v>
      </c>
      <c r="AI40" s="629">
        <f>SUM(AI24:AI39)</f>
        <v>27</v>
      </c>
    </row>
    <row r="41" spans="1:35" ht="14.95" customHeight="1" thickBot="1" x14ac:dyDescent="0.3">
      <c r="J41" s="606" t="s">
        <v>643</v>
      </c>
      <c r="K41" s="570"/>
      <c r="L41" s="571"/>
      <c r="M41" s="573"/>
      <c r="N41" s="572"/>
      <c r="O41" s="594">
        <f>SUM(K41:N41)</f>
        <v>0</v>
      </c>
      <c r="P41" s="56"/>
      <c r="Q41" s="595"/>
      <c r="W41" s="475" t="s">
        <v>638</v>
      </c>
      <c r="X41" s="604"/>
      <c r="Y41" s="604"/>
      <c r="Z41" s="604"/>
      <c r="AA41" s="604"/>
      <c r="AB41" s="604"/>
      <c r="AC41" s="475" t="s">
        <v>639</v>
      </c>
      <c r="AD41" s="604"/>
      <c r="AE41" s="604"/>
      <c r="AF41" s="604"/>
      <c r="AG41" s="604"/>
      <c r="AH41" s="604"/>
    </row>
    <row r="42" spans="1:35" ht="14.95" customHeight="1" thickBot="1" x14ac:dyDescent="0.3">
      <c r="J42" s="606" t="s">
        <v>644</v>
      </c>
      <c r="K42" s="570"/>
      <c r="L42" s="571"/>
      <c r="M42" s="573"/>
      <c r="N42" s="572"/>
      <c r="O42" s="594">
        <f t="shared" ref="O42:O56" si="22">SUM(K42:N42)</f>
        <v>0</v>
      </c>
      <c r="P42" s="56"/>
      <c r="Q42" s="595"/>
      <c r="W42" s="607" t="s">
        <v>643</v>
      </c>
      <c r="X42" s="596">
        <v>0</v>
      </c>
      <c r="AC42" s="605" t="s">
        <v>761</v>
      </c>
      <c r="AD42" s="542" t="s">
        <v>643</v>
      </c>
      <c r="AE42" s="13" t="s">
        <v>667</v>
      </c>
      <c r="AF42" s="13" t="s">
        <v>240</v>
      </c>
      <c r="AG42" s="13"/>
      <c r="AH42" s="13"/>
    </row>
    <row r="43" spans="1:35" ht="14.95" customHeight="1" thickBot="1" x14ac:dyDescent="0.3">
      <c r="J43" s="606" t="s">
        <v>645</v>
      </c>
      <c r="K43" s="570"/>
      <c r="L43" s="571"/>
      <c r="M43" s="573"/>
      <c r="N43" s="572"/>
      <c r="O43" s="594">
        <f t="shared" si="22"/>
        <v>0</v>
      </c>
      <c r="P43" s="56"/>
      <c r="Q43" s="595"/>
      <c r="W43" s="606" t="s">
        <v>644</v>
      </c>
      <c r="X43" s="597">
        <v>0</v>
      </c>
      <c r="AC43" s="605" t="s">
        <v>763</v>
      </c>
      <c r="AD43" s="542" t="s">
        <v>648</v>
      </c>
      <c r="AE43" s="13" t="s">
        <v>696</v>
      </c>
      <c r="AF43" s="13" t="s">
        <v>242</v>
      </c>
      <c r="AG43" s="13"/>
      <c r="AH43" s="13"/>
    </row>
    <row r="44" spans="1:35" ht="14.95" customHeight="1" thickBot="1" x14ac:dyDescent="0.3">
      <c r="J44" s="606" t="s">
        <v>646</v>
      </c>
      <c r="K44" s="570"/>
      <c r="L44" s="571"/>
      <c r="M44" s="573"/>
      <c r="N44" s="572"/>
      <c r="O44" s="594">
        <f t="shared" si="22"/>
        <v>0</v>
      </c>
      <c r="P44" s="56"/>
      <c r="Q44" s="595"/>
      <c r="W44" s="606" t="s">
        <v>645</v>
      </c>
      <c r="X44" s="597">
        <v>0</v>
      </c>
      <c r="AC44" s="605" t="s">
        <v>762</v>
      </c>
      <c r="AD44" s="542" t="s">
        <v>646</v>
      </c>
      <c r="AE44" s="13" t="s">
        <v>667</v>
      </c>
      <c r="AF44" s="13" t="s">
        <v>234</v>
      </c>
      <c r="AG44" s="13"/>
      <c r="AH44" s="13"/>
    </row>
    <row r="45" spans="1:35" ht="14.95" customHeight="1" thickBot="1" x14ac:dyDescent="0.3">
      <c r="J45" s="606" t="s">
        <v>647</v>
      </c>
      <c r="K45" s="570"/>
      <c r="L45" s="571"/>
      <c r="M45" s="573"/>
      <c r="N45" s="572"/>
      <c r="O45" s="594">
        <f>SUM(K45:N45)</f>
        <v>0</v>
      </c>
      <c r="P45" s="56"/>
      <c r="Q45" s="595"/>
      <c r="W45" s="606" t="s">
        <v>646</v>
      </c>
      <c r="X45" s="597">
        <v>0</v>
      </c>
      <c r="AC45" s="605">
        <v>23</v>
      </c>
      <c r="AD45" s="542" t="s">
        <v>650</v>
      </c>
      <c r="AE45" s="13" t="s">
        <v>696</v>
      </c>
      <c r="AF45" s="13" t="s">
        <v>174</v>
      </c>
      <c r="AG45" s="13"/>
      <c r="AH45" s="13"/>
    </row>
    <row r="46" spans="1:35" ht="14.95" customHeight="1" thickBot="1" x14ac:dyDescent="0.3">
      <c r="J46" s="606" t="s">
        <v>648</v>
      </c>
      <c r="K46" s="570"/>
      <c r="L46" s="571"/>
      <c r="M46" s="573"/>
      <c r="N46" s="572"/>
      <c r="O46" s="594">
        <f t="shared" si="22"/>
        <v>0</v>
      </c>
      <c r="P46" s="56"/>
      <c r="Q46" s="595"/>
      <c r="W46" s="606" t="s">
        <v>647</v>
      </c>
      <c r="X46" s="597">
        <v>0</v>
      </c>
      <c r="AC46" s="605">
        <v>27</v>
      </c>
      <c r="AD46" s="542" t="s">
        <v>55</v>
      </c>
      <c r="AE46" s="13" t="s">
        <v>667</v>
      </c>
      <c r="AF46" s="13" t="s">
        <v>172</v>
      </c>
      <c r="AG46" s="13"/>
      <c r="AH46" s="13"/>
    </row>
    <row r="47" spans="1:35" ht="14.95" customHeight="1" thickBot="1" x14ac:dyDescent="0.3">
      <c r="J47" s="606" t="s">
        <v>649</v>
      </c>
      <c r="K47" s="570"/>
      <c r="L47" s="571"/>
      <c r="M47" s="573">
        <v>1</v>
      </c>
      <c r="N47" s="572"/>
      <c r="O47" s="594">
        <f t="shared" si="22"/>
        <v>1</v>
      </c>
      <c r="P47" s="56"/>
      <c r="Q47" s="595"/>
      <c r="W47" s="606" t="s">
        <v>648</v>
      </c>
      <c r="X47" s="597">
        <v>0</v>
      </c>
      <c r="AC47" s="605">
        <v>29</v>
      </c>
      <c r="AD47" s="542" t="s">
        <v>645</v>
      </c>
      <c r="AE47" s="13" t="s">
        <v>679</v>
      </c>
      <c r="AF47" s="13" t="s">
        <v>240</v>
      </c>
      <c r="AG47" s="13"/>
      <c r="AH47" s="13"/>
    </row>
    <row r="48" spans="1:35" ht="14.95" customHeight="1" thickBot="1" x14ac:dyDescent="0.3">
      <c r="J48" s="606" t="s">
        <v>650</v>
      </c>
      <c r="K48" s="570"/>
      <c r="L48" s="571"/>
      <c r="M48" s="573"/>
      <c r="N48" s="572"/>
      <c r="O48" s="594">
        <f t="shared" si="22"/>
        <v>0</v>
      </c>
      <c r="P48" s="56"/>
      <c r="Q48" s="595"/>
      <c r="W48" s="606" t="s">
        <v>649</v>
      </c>
      <c r="X48" s="597">
        <v>0</v>
      </c>
      <c r="AC48" s="605">
        <v>31</v>
      </c>
      <c r="AD48" s="542" t="s">
        <v>645</v>
      </c>
      <c r="AE48" s="13" t="s">
        <v>674</v>
      </c>
      <c r="AF48" s="13" t="s">
        <v>234</v>
      </c>
      <c r="AG48" s="13"/>
      <c r="AH48" s="13"/>
    </row>
    <row r="49" spans="10:35" ht="14.95" customHeight="1" thickBot="1" x14ac:dyDescent="0.3">
      <c r="J49" s="606" t="s">
        <v>651</v>
      </c>
      <c r="K49" s="570"/>
      <c r="L49" s="571"/>
      <c r="M49" s="573"/>
      <c r="N49" s="572"/>
      <c r="O49" s="594">
        <f>SUM(K49:N49)</f>
        <v>0</v>
      </c>
      <c r="P49" s="56"/>
      <c r="Q49" s="595"/>
      <c r="W49" s="606" t="s">
        <v>650</v>
      </c>
      <c r="X49" s="597">
        <v>0</v>
      </c>
      <c r="AC49" s="605">
        <v>31</v>
      </c>
      <c r="AD49" s="542" t="s">
        <v>652</v>
      </c>
      <c r="AE49" s="13" t="s">
        <v>688</v>
      </c>
      <c r="AF49" s="13" t="s">
        <v>242</v>
      </c>
      <c r="AG49" s="13"/>
      <c r="AH49" s="13"/>
    </row>
    <row r="50" spans="10:35" ht="14.95" customHeight="1" thickBot="1" x14ac:dyDescent="0.3">
      <c r="J50" s="606" t="s">
        <v>652</v>
      </c>
      <c r="K50" s="570"/>
      <c r="L50" s="571"/>
      <c r="M50" s="573"/>
      <c r="N50" s="572"/>
      <c r="O50" s="594">
        <f t="shared" si="22"/>
        <v>0</v>
      </c>
      <c r="P50" s="56"/>
      <c r="Q50" s="595"/>
      <c r="W50" s="606" t="s">
        <v>651</v>
      </c>
      <c r="X50" s="597">
        <v>0</v>
      </c>
      <c r="AC50" s="605">
        <v>35</v>
      </c>
      <c r="AD50" s="542" t="s">
        <v>646</v>
      </c>
      <c r="AE50" s="13" t="s">
        <v>55</v>
      </c>
      <c r="AF50" s="13" t="s">
        <v>232</v>
      </c>
    </row>
    <row r="51" spans="10:35" ht="14.95" customHeight="1" thickBot="1" x14ac:dyDescent="0.3">
      <c r="J51" s="606" t="s">
        <v>653</v>
      </c>
      <c r="K51" s="570"/>
      <c r="L51" s="571"/>
      <c r="M51" s="573"/>
      <c r="N51" s="572"/>
      <c r="O51" s="594">
        <f t="shared" si="22"/>
        <v>0</v>
      </c>
      <c r="P51" s="56"/>
      <c r="Q51" s="595"/>
      <c r="W51" s="606" t="s">
        <v>652</v>
      </c>
      <c r="X51" s="597">
        <v>0</v>
      </c>
      <c r="AC51" s="542">
        <v>37</v>
      </c>
      <c r="AD51" s="542" t="s">
        <v>649</v>
      </c>
      <c r="AE51" s="13" t="s">
        <v>688</v>
      </c>
      <c r="AF51" s="13" t="s">
        <v>245</v>
      </c>
    </row>
    <row r="52" spans="10:35" ht="14.95" customHeight="1" thickBot="1" x14ac:dyDescent="0.3">
      <c r="J52" s="606" t="s">
        <v>654</v>
      </c>
      <c r="K52" s="570"/>
      <c r="L52" s="571"/>
      <c r="M52" s="573"/>
      <c r="N52" s="572"/>
      <c r="O52" s="594">
        <f t="shared" si="22"/>
        <v>0</v>
      </c>
      <c r="P52" s="56"/>
      <c r="Q52" s="595"/>
      <c r="W52" s="606" t="s">
        <v>653</v>
      </c>
      <c r="X52" s="597">
        <v>0</v>
      </c>
      <c r="AC52" s="542">
        <v>37</v>
      </c>
      <c r="AD52" s="542" t="s">
        <v>647</v>
      </c>
      <c r="AE52" s="13" t="s">
        <v>674</v>
      </c>
      <c r="AF52" s="13" t="s">
        <v>172</v>
      </c>
    </row>
    <row r="53" spans="10:35" ht="14.95" customHeight="1" thickBot="1" x14ac:dyDescent="0.3">
      <c r="J53" s="606" t="s">
        <v>655</v>
      </c>
      <c r="K53" s="570"/>
      <c r="L53" s="571"/>
      <c r="M53" s="573"/>
      <c r="N53" s="572"/>
      <c r="O53" s="594">
        <f t="shared" si="22"/>
        <v>0</v>
      </c>
      <c r="P53" s="56"/>
      <c r="Q53" s="595"/>
      <c r="W53" s="606" t="s">
        <v>654</v>
      </c>
      <c r="X53" s="597">
        <v>0</v>
      </c>
      <c r="AC53" s="542">
        <v>37</v>
      </c>
      <c r="AD53" s="542" t="s">
        <v>648</v>
      </c>
      <c r="AE53" s="13" t="s">
        <v>653</v>
      </c>
      <c r="AF53" s="13" t="s">
        <v>174</v>
      </c>
    </row>
    <row r="54" spans="10:35" ht="14.95" customHeight="1" thickBot="1" x14ac:dyDescent="0.3">
      <c r="J54" s="606" t="s">
        <v>656</v>
      </c>
      <c r="K54" s="570"/>
      <c r="L54" s="571">
        <v>1</v>
      </c>
      <c r="M54" s="573"/>
      <c r="N54" s="572"/>
      <c r="O54" s="594">
        <f t="shared" si="22"/>
        <v>1</v>
      </c>
      <c r="P54" s="56"/>
      <c r="Q54" s="595"/>
      <c r="W54" s="606" t="s">
        <v>655</v>
      </c>
      <c r="X54" s="597">
        <v>0</v>
      </c>
      <c r="AC54" s="542">
        <v>38</v>
      </c>
      <c r="AD54" s="542" t="s">
        <v>649</v>
      </c>
      <c r="AE54" s="13" t="s">
        <v>699</v>
      </c>
      <c r="AF54" s="13" t="s">
        <v>242</v>
      </c>
    </row>
    <row r="55" spans="10:35" ht="14.95" customHeight="1" thickBot="1" x14ac:dyDescent="0.3">
      <c r="J55" s="606" t="s">
        <v>55</v>
      </c>
      <c r="K55" s="570"/>
      <c r="L55" s="571"/>
      <c r="M55" s="573"/>
      <c r="N55" s="572"/>
      <c r="O55" s="594">
        <f t="shared" si="22"/>
        <v>0</v>
      </c>
      <c r="P55" s="56"/>
      <c r="Q55" s="595"/>
      <c r="W55" s="606" t="s">
        <v>656</v>
      </c>
      <c r="X55" s="597">
        <v>0</v>
      </c>
      <c r="AC55" s="605" t="s">
        <v>695</v>
      </c>
      <c r="AD55" s="542" t="s">
        <v>653</v>
      </c>
      <c r="AE55" s="13" t="s">
        <v>696</v>
      </c>
      <c r="AF55" s="13" t="s">
        <v>245</v>
      </c>
    </row>
    <row r="56" spans="10:35" ht="14.95" thickBot="1" x14ac:dyDescent="0.3">
      <c r="J56" s="606" t="s">
        <v>657</v>
      </c>
      <c r="K56" s="570"/>
      <c r="L56" s="571"/>
      <c r="M56" s="573"/>
      <c r="N56" s="572"/>
      <c r="O56" s="594">
        <f t="shared" si="22"/>
        <v>0</v>
      </c>
      <c r="P56" s="56"/>
      <c r="Q56" s="595"/>
      <c r="W56" s="606" t="s">
        <v>55</v>
      </c>
      <c r="X56" s="597">
        <v>0</v>
      </c>
      <c r="AB56" s="646"/>
      <c r="AC56" s="600"/>
      <c r="AD56" s="601"/>
      <c r="AE56" s="602"/>
      <c r="AF56" s="602"/>
      <c r="AG56" s="603"/>
      <c r="AH56" s="603"/>
      <c r="AI56" s="646"/>
    </row>
    <row r="57" spans="10:35" ht="14.95" thickBot="1" x14ac:dyDescent="0.3">
      <c r="J57" s="708" t="s">
        <v>721</v>
      </c>
      <c r="K57" s="709"/>
      <c r="L57" s="709"/>
      <c r="M57" s="709"/>
      <c r="N57" s="709"/>
      <c r="O57" s="709"/>
      <c r="P57" s="709"/>
      <c r="Q57" s="709"/>
      <c r="R57" s="709"/>
      <c r="S57" s="709"/>
      <c r="T57" s="709"/>
      <c r="U57" s="709"/>
      <c r="W57" s="606" t="s">
        <v>657</v>
      </c>
      <c r="X57" s="597">
        <v>0</v>
      </c>
      <c r="AC57" s="542">
        <v>43</v>
      </c>
      <c r="AD57" s="542" t="s">
        <v>655</v>
      </c>
      <c r="AE57" s="13" t="s">
        <v>674</v>
      </c>
      <c r="AF57" s="13" t="s">
        <v>240</v>
      </c>
    </row>
    <row r="58" spans="10:35" x14ac:dyDescent="0.25">
      <c r="J58" s="708" t="s">
        <v>722</v>
      </c>
      <c r="K58" s="709"/>
      <c r="L58" s="709"/>
      <c r="M58" s="709"/>
      <c r="N58" s="709"/>
      <c r="O58" s="709"/>
      <c r="P58" s="709"/>
      <c r="Q58" s="709"/>
      <c r="R58" s="709"/>
      <c r="S58" s="709"/>
      <c r="T58" s="709"/>
      <c r="U58" s="709"/>
      <c r="W58" s="546"/>
      <c r="AC58" s="542">
        <v>44</v>
      </c>
      <c r="AD58" s="542" t="s">
        <v>646</v>
      </c>
      <c r="AE58" s="13" t="s">
        <v>723</v>
      </c>
      <c r="AF58" s="13" t="s">
        <v>172</v>
      </c>
    </row>
    <row r="59" spans="10:35" x14ac:dyDescent="0.25">
      <c r="W59" s="475" t="s">
        <v>711</v>
      </c>
      <c r="X59" s="604"/>
      <c r="Y59" s="604"/>
      <c r="Z59" s="604"/>
      <c r="AA59" s="604"/>
      <c r="AC59" s="542">
        <v>45</v>
      </c>
      <c r="AD59" s="542" t="s">
        <v>657</v>
      </c>
      <c r="AE59" s="13" t="s">
        <v>679</v>
      </c>
      <c r="AF59" s="13" t="s">
        <v>172</v>
      </c>
    </row>
    <row r="60" spans="10:35" x14ac:dyDescent="0.25">
      <c r="W60" s="542" t="s">
        <v>672</v>
      </c>
      <c r="X60" s="13" t="s">
        <v>673</v>
      </c>
      <c r="Y60" s="13"/>
      <c r="Z60" s="13"/>
      <c r="AA60" s="13"/>
      <c r="AC60" s="73">
        <v>46</v>
      </c>
      <c r="AD60" s="73" t="s">
        <v>652</v>
      </c>
      <c r="AE60" s="13" t="s">
        <v>699</v>
      </c>
      <c r="AF60" s="13" t="s">
        <v>245</v>
      </c>
    </row>
    <row r="61" spans="10:35" x14ac:dyDescent="0.25">
      <c r="W61" s="542" t="s">
        <v>737</v>
      </c>
      <c r="X61" s="13" t="s">
        <v>738</v>
      </c>
      <c r="Y61" s="13"/>
      <c r="Z61" s="13"/>
      <c r="AA61" s="13"/>
      <c r="AC61" s="73">
        <v>56</v>
      </c>
      <c r="AD61" s="73" t="s">
        <v>655</v>
      </c>
      <c r="AE61" s="13" t="s">
        <v>679</v>
      </c>
      <c r="AF61" s="13" t="s">
        <v>234</v>
      </c>
    </row>
    <row r="62" spans="10:35" x14ac:dyDescent="0.25">
      <c r="W62" s="542" t="s">
        <v>780</v>
      </c>
      <c r="X62" s="13" t="s">
        <v>787</v>
      </c>
      <c r="Y62" s="13"/>
      <c r="Z62" s="13"/>
      <c r="AA62" s="13"/>
      <c r="AC62" s="73">
        <v>57</v>
      </c>
      <c r="AD62" s="73" t="s">
        <v>645</v>
      </c>
      <c r="AE62" s="13" t="s">
        <v>771</v>
      </c>
      <c r="AF62" s="13" t="s">
        <v>172</v>
      </c>
    </row>
    <row r="63" spans="10:35" x14ac:dyDescent="0.25">
      <c r="W63" s="542" t="s">
        <v>641</v>
      </c>
      <c r="X63" s="13" t="s">
        <v>668</v>
      </c>
      <c r="Y63" s="13"/>
      <c r="Z63" s="13"/>
      <c r="AA63" s="13"/>
      <c r="AB63" s="13"/>
      <c r="AC63" s="73">
        <v>58</v>
      </c>
      <c r="AD63" s="73" t="s">
        <v>643</v>
      </c>
      <c r="AE63" s="13" t="s">
        <v>55</v>
      </c>
      <c r="AF63" s="13" t="s">
        <v>234</v>
      </c>
    </row>
    <row r="64" spans="10:35" x14ac:dyDescent="0.25">
      <c r="W64" s="542" t="s">
        <v>709</v>
      </c>
      <c r="X64" s="13" t="s">
        <v>710</v>
      </c>
      <c r="Y64" s="13"/>
      <c r="Z64" s="13"/>
      <c r="AA64" s="13"/>
      <c r="AB64" s="13"/>
      <c r="AC64" s="73">
        <v>58</v>
      </c>
      <c r="AD64" s="73" t="s">
        <v>653</v>
      </c>
      <c r="AE64" s="13" t="s">
        <v>739</v>
      </c>
      <c r="AF64" s="13" t="s">
        <v>242</v>
      </c>
    </row>
    <row r="65" spans="23:32" x14ac:dyDescent="0.25">
      <c r="W65" s="542" t="s">
        <v>809</v>
      </c>
      <c r="X65" s="13" t="s">
        <v>810</v>
      </c>
      <c r="Y65" s="13"/>
      <c r="Z65" s="13"/>
      <c r="AA65" s="13"/>
      <c r="AB65" s="13"/>
      <c r="AC65" s="73">
        <v>58</v>
      </c>
      <c r="AD65" s="73" t="s">
        <v>652</v>
      </c>
      <c r="AE65" s="13" t="s">
        <v>734</v>
      </c>
      <c r="AF65" s="13" t="s">
        <v>174</v>
      </c>
    </row>
    <row r="66" spans="23:32" x14ac:dyDescent="0.25">
      <c r="W66" s="542" t="s">
        <v>693</v>
      </c>
      <c r="X66" s="13" t="s">
        <v>694</v>
      </c>
      <c r="Y66" s="13"/>
      <c r="Z66" s="13"/>
      <c r="AA66" s="13"/>
      <c r="AB66" s="13"/>
      <c r="AC66" s="73">
        <v>60</v>
      </c>
      <c r="AD66" s="73" t="s">
        <v>656</v>
      </c>
      <c r="AE66" s="13" t="s">
        <v>734</v>
      </c>
      <c r="AF66" s="13" t="s">
        <v>242</v>
      </c>
    </row>
    <row r="67" spans="23:32" x14ac:dyDescent="0.25">
      <c r="W67" s="73" t="s">
        <v>717</v>
      </c>
      <c r="X67" t="s">
        <v>718</v>
      </c>
      <c r="AB67" s="13"/>
      <c r="AC67" s="73">
        <v>61</v>
      </c>
      <c r="AD67" s="73" t="s">
        <v>651</v>
      </c>
      <c r="AE67" s="13" t="s">
        <v>699</v>
      </c>
      <c r="AF67" s="13" t="s">
        <v>174</v>
      </c>
    </row>
    <row r="68" spans="23:32" x14ac:dyDescent="0.25">
      <c r="W68" s="73" t="s">
        <v>752</v>
      </c>
      <c r="X68" t="s">
        <v>753</v>
      </c>
      <c r="AB68" s="13"/>
      <c r="AC68" s="73">
        <v>67</v>
      </c>
      <c r="AD68" s="73" t="s">
        <v>55</v>
      </c>
      <c r="AE68" s="13" t="s">
        <v>723</v>
      </c>
      <c r="AF68" s="13" t="s">
        <v>234</v>
      </c>
    </row>
    <row r="69" spans="23:32" x14ac:dyDescent="0.25">
      <c r="W69" s="73" t="s">
        <v>689</v>
      </c>
      <c r="X69" t="s">
        <v>690</v>
      </c>
      <c r="AC69" s="73">
        <v>68</v>
      </c>
      <c r="AD69" s="73" t="s">
        <v>650</v>
      </c>
      <c r="AE69" s="13" t="s">
        <v>653</v>
      </c>
      <c r="AF69" s="13" t="s">
        <v>242</v>
      </c>
    </row>
    <row r="70" spans="23:32" x14ac:dyDescent="0.25">
      <c r="W70" s="73" t="s">
        <v>829</v>
      </c>
      <c r="X70" t="s">
        <v>830</v>
      </c>
      <c r="AB70" s="13"/>
      <c r="AC70" s="546"/>
      <c r="AD70" s="73"/>
    </row>
    <row r="71" spans="23:32" x14ac:dyDescent="0.25">
      <c r="W71" s="73" t="s">
        <v>764</v>
      </c>
      <c r="X71" t="s">
        <v>765</v>
      </c>
      <c r="AB71" s="13"/>
      <c r="AC71" s="73"/>
      <c r="AD71" s="73"/>
      <c r="AE71" s="13"/>
    </row>
    <row r="72" spans="23:32" x14ac:dyDescent="0.25">
      <c r="W72" s="73" t="s">
        <v>839</v>
      </c>
      <c r="X72" t="s">
        <v>840</v>
      </c>
      <c r="AB72" s="13"/>
      <c r="AC72" s="73"/>
      <c r="AD72" s="73"/>
      <c r="AE72" s="13"/>
    </row>
    <row r="73" spans="23:32" x14ac:dyDescent="0.25">
      <c r="W73" s="73"/>
      <c r="AC73" s="73"/>
      <c r="AD73" s="73"/>
      <c r="AE73" s="13"/>
    </row>
    <row r="74" spans="23:32" x14ac:dyDescent="0.25">
      <c r="W74" s="73"/>
      <c r="AC74" s="73"/>
      <c r="AD74" s="73"/>
    </row>
    <row r="75" spans="23:32" x14ac:dyDescent="0.25">
      <c r="W75" s="73"/>
      <c r="AC75" s="73"/>
      <c r="AD75" s="73"/>
      <c r="AE75" s="13"/>
    </row>
    <row r="76" spans="23:32" x14ac:dyDescent="0.25">
      <c r="W76" s="73"/>
      <c r="AC76" s="73"/>
      <c r="AD76" s="73"/>
      <c r="AE76" s="13"/>
    </row>
    <row r="77" spans="23:32" x14ac:dyDescent="0.25">
      <c r="W77" s="546"/>
      <c r="AC77" s="73"/>
      <c r="AD77" s="73"/>
      <c r="AE77" s="13"/>
    </row>
    <row r="78" spans="23:32" x14ac:dyDescent="0.25">
      <c r="W78" s="73"/>
      <c r="AC78" s="73"/>
      <c r="AD78" s="73"/>
      <c r="AE78" s="13"/>
    </row>
    <row r="79" spans="23:32" x14ac:dyDescent="0.25">
      <c r="W79" s="73"/>
      <c r="AC79" s="73"/>
      <c r="AD79" s="73"/>
      <c r="AE79" s="13"/>
    </row>
    <row r="80" spans="23:32" x14ac:dyDescent="0.25">
      <c r="W80" s="73"/>
      <c r="AC80" s="73"/>
      <c r="AD80" s="73"/>
      <c r="AE80" s="13"/>
    </row>
    <row r="81" spans="23:31" x14ac:dyDescent="0.25">
      <c r="W81" s="73"/>
      <c r="AC81" s="546"/>
      <c r="AD81" s="73"/>
      <c r="AE81" s="13"/>
    </row>
    <row r="82" spans="23:31" x14ac:dyDescent="0.25">
      <c r="W82" s="73"/>
      <c r="AC82" s="73"/>
      <c r="AD82" s="73"/>
      <c r="AE82" s="13"/>
    </row>
    <row r="83" spans="23:31" x14ac:dyDescent="0.25">
      <c r="W83" s="73"/>
      <c r="AC83" s="73"/>
      <c r="AD83" s="73"/>
      <c r="AE83" s="13"/>
    </row>
    <row r="84" spans="23:31" x14ac:dyDescent="0.25">
      <c r="W84" s="73"/>
      <c r="AC84" s="73"/>
      <c r="AD84" s="73"/>
      <c r="AE84" s="13"/>
    </row>
    <row r="85" spans="23:31" x14ac:dyDescent="0.25">
      <c r="W85" s="73"/>
      <c r="AC85" s="73"/>
      <c r="AD85" s="73"/>
      <c r="AE85" s="13"/>
    </row>
    <row r="86" spans="23:31" x14ac:dyDescent="0.25">
      <c r="W86" s="73"/>
      <c r="AC86" s="73"/>
      <c r="AD86" s="73"/>
      <c r="AE86" s="13"/>
    </row>
    <row r="87" spans="23:31" x14ac:dyDescent="0.25">
      <c r="W87" s="73"/>
      <c r="AC87" s="73"/>
      <c r="AD87" s="73"/>
      <c r="AE87" s="13"/>
    </row>
    <row r="88" spans="23:31" x14ac:dyDescent="0.25">
      <c r="W88" s="73"/>
      <c r="AC88" s="73"/>
      <c r="AD88" s="73"/>
      <c r="AE88" s="13"/>
    </row>
    <row r="89" spans="23:31" x14ac:dyDescent="0.25">
      <c r="W89" s="73"/>
      <c r="AC89" s="73"/>
      <c r="AD89" s="73"/>
    </row>
    <row r="90" spans="23:31" x14ac:dyDescent="0.25">
      <c r="W90" s="73"/>
      <c r="AC90" s="73"/>
      <c r="AD90" s="73"/>
      <c r="AE90" s="13"/>
    </row>
    <row r="91" spans="23:31" x14ac:dyDescent="0.25">
      <c r="W91" s="73"/>
      <c r="AC91" s="73"/>
      <c r="AD91" s="73"/>
      <c r="AE91" s="13"/>
    </row>
    <row r="92" spans="23:31" x14ac:dyDescent="0.25">
      <c r="W92" s="73"/>
      <c r="AC92" s="73"/>
      <c r="AD92" s="73"/>
      <c r="AE92" s="13"/>
    </row>
    <row r="93" spans="23:31" x14ac:dyDescent="0.25">
      <c r="W93" s="73"/>
      <c r="AC93" s="73"/>
      <c r="AD93" s="73"/>
      <c r="AE93" s="13"/>
    </row>
    <row r="94" spans="23:31" x14ac:dyDescent="0.25">
      <c r="W94" s="73"/>
      <c r="AC94" s="73"/>
      <c r="AD94" s="73"/>
      <c r="AE94" s="13"/>
    </row>
    <row r="95" spans="23:31" x14ac:dyDescent="0.25">
      <c r="W95" s="73"/>
      <c r="AC95" s="73"/>
      <c r="AD95" s="73"/>
      <c r="AE95" s="13"/>
    </row>
    <row r="96" spans="23:31" x14ac:dyDescent="0.25">
      <c r="W96" s="73"/>
      <c r="AC96" s="73"/>
      <c r="AD96" s="73"/>
      <c r="AE96" s="13"/>
    </row>
    <row r="97" spans="23:31" x14ac:dyDescent="0.25">
      <c r="W97" s="73"/>
      <c r="AC97" s="73"/>
      <c r="AD97" s="73"/>
      <c r="AE97" s="13"/>
    </row>
    <row r="98" spans="23:31" x14ac:dyDescent="0.25">
      <c r="W98" s="73"/>
      <c r="AC98" s="73"/>
      <c r="AD98" s="73"/>
    </row>
    <row r="99" spans="23:31" x14ac:dyDescent="0.25">
      <c r="W99" s="73"/>
      <c r="AC99" s="73"/>
      <c r="AD99" s="73"/>
    </row>
    <row r="100" spans="23:31" x14ac:dyDescent="0.25">
      <c r="W100" s="73"/>
      <c r="AC100" s="73"/>
      <c r="AD100" s="73"/>
      <c r="AE100" s="13"/>
    </row>
    <row r="101" spans="23:31" x14ac:dyDescent="0.25">
      <c r="W101" s="546"/>
      <c r="AC101" s="73"/>
      <c r="AD101" s="73"/>
      <c r="AE101" s="13"/>
    </row>
    <row r="102" spans="23:31" x14ac:dyDescent="0.25">
      <c r="AC102" s="73"/>
      <c r="AD102" s="73"/>
      <c r="AE102" s="13"/>
    </row>
    <row r="103" spans="23:31" x14ac:dyDescent="0.25">
      <c r="Y103" s="546" t="s">
        <v>53</v>
      </c>
      <c r="AC103" s="73"/>
      <c r="AD103" s="73"/>
      <c r="AE103" s="13"/>
    </row>
    <row r="104" spans="23:31" x14ac:dyDescent="0.25">
      <c r="AC104" s="73"/>
      <c r="AD104" s="73"/>
      <c r="AE104" s="13"/>
    </row>
    <row r="105" spans="23:31" x14ac:dyDescent="0.25">
      <c r="AC105" s="73"/>
      <c r="AD105" s="73"/>
      <c r="AE105" s="13"/>
    </row>
    <row r="106" spans="23:31" x14ac:dyDescent="0.25">
      <c r="AC106" s="73"/>
      <c r="AD106" s="73"/>
    </row>
    <row r="107" spans="23:31" x14ac:dyDescent="0.25">
      <c r="AC107" s="73"/>
      <c r="AD107" s="73"/>
    </row>
    <row r="108" spans="23:31" x14ac:dyDescent="0.25">
      <c r="AC108" s="73"/>
      <c r="AD108" s="73"/>
    </row>
    <row r="109" spans="23:31" x14ac:dyDescent="0.25">
      <c r="AC109" s="73"/>
      <c r="AD109" s="73"/>
    </row>
    <row r="110" spans="23:31" x14ac:dyDescent="0.25">
      <c r="AC110" s="73"/>
      <c r="AD110" s="73"/>
    </row>
    <row r="111" spans="23:31" x14ac:dyDescent="0.25">
      <c r="AC111" s="73"/>
      <c r="AD111" s="73"/>
    </row>
    <row r="112" spans="23:31" x14ac:dyDescent="0.25">
      <c r="AC112" s="73"/>
      <c r="AD112" s="73"/>
      <c r="AE112" s="13"/>
    </row>
    <row r="113" spans="29:31" x14ac:dyDescent="0.25">
      <c r="AC113" s="73"/>
      <c r="AD113" s="73"/>
      <c r="AE113" s="13"/>
    </row>
    <row r="114" spans="29:31" x14ac:dyDescent="0.25">
      <c r="AC114" s="73"/>
      <c r="AD114" s="73"/>
    </row>
    <row r="115" spans="29:31" x14ac:dyDescent="0.25">
      <c r="AC115" s="73"/>
      <c r="AD115" s="73"/>
    </row>
    <row r="116" spans="29:31" x14ac:dyDescent="0.25">
      <c r="AC116" s="73"/>
      <c r="AD116" s="73"/>
    </row>
    <row r="117" spans="29:31" x14ac:dyDescent="0.25">
      <c r="AC117" s="73"/>
      <c r="AD117" s="73"/>
    </row>
    <row r="118" spans="29:31" x14ac:dyDescent="0.25">
      <c r="AC118" s="73"/>
      <c r="AD118" s="73"/>
      <c r="AE118" s="13"/>
    </row>
    <row r="119" spans="29:31" x14ac:dyDescent="0.25">
      <c r="AC119" s="73"/>
      <c r="AD119" s="73"/>
    </row>
    <row r="120" spans="29:31" x14ac:dyDescent="0.25">
      <c r="AC120" s="73"/>
      <c r="AD120" s="73"/>
    </row>
    <row r="121" spans="29:31" x14ac:dyDescent="0.25">
      <c r="AC121" s="73"/>
      <c r="AD121" s="73"/>
    </row>
    <row r="122" spans="29:31" x14ac:dyDescent="0.25">
      <c r="AC122" s="73"/>
      <c r="AD122" s="73"/>
    </row>
    <row r="123" spans="29:31" x14ac:dyDescent="0.25">
      <c r="AC123" s="73"/>
      <c r="AD123" s="73"/>
    </row>
    <row r="124" spans="29:31" x14ac:dyDescent="0.25">
      <c r="AC124" s="73"/>
      <c r="AD124" s="73"/>
    </row>
    <row r="125" spans="29:31" x14ac:dyDescent="0.25">
      <c r="AC125" s="73"/>
      <c r="AD125" s="73"/>
    </row>
    <row r="126" spans="29:31" x14ac:dyDescent="0.25">
      <c r="AC126" s="73"/>
      <c r="AD126" s="73"/>
    </row>
    <row r="127" spans="29:31" x14ac:dyDescent="0.25">
      <c r="AC127" s="73"/>
      <c r="AD127" s="73"/>
    </row>
    <row r="128" spans="29:31" x14ac:dyDescent="0.25">
      <c r="AC128" s="73"/>
      <c r="AD128" s="73"/>
    </row>
    <row r="129" spans="29:31" x14ac:dyDescent="0.25">
      <c r="AC129" s="73"/>
      <c r="AD129" s="73"/>
    </row>
    <row r="130" spans="29:31" x14ac:dyDescent="0.25">
      <c r="AC130" s="73"/>
      <c r="AD130" s="73"/>
    </row>
    <row r="131" spans="29:31" x14ac:dyDescent="0.25">
      <c r="AC131" s="73"/>
      <c r="AD131" s="73"/>
    </row>
    <row r="132" spans="29:31" x14ac:dyDescent="0.25">
      <c r="AC132" s="73"/>
      <c r="AD132" s="73"/>
    </row>
    <row r="133" spans="29:31" x14ac:dyDescent="0.25">
      <c r="AC133" s="73"/>
      <c r="AD133" s="73"/>
    </row>
    <row r="134" spans="29:31" x14ac:dyDescent="0.25">
      <c r="AC134" s="73"/>
      <c r="AD134" s="73"/>
      <c r="AE134" s="13"/>
    </row>
    <row r="135" spans="29:31" x14ac:dyDescent="0.25">
      <c r="AC135" s="73"/>
      <c r="AD135" s="73"/>
    </row>
    <row r="136" spans="29:31" x14ac:dyDescent="0.25">
      <c r="AC136" s="73"/>
      <c r="AD136" s="73"/>
    </row>
    <row r="137" spans="29:31" x14ac:dyDescent="0.25">
      <c r="AC137" s="73"/>
      <c r="AD137" s="73"/>
    </row>
    <row r="138" spans="29:31" x14ac:dyDescent="0.25">
      <c r="AC138" s="73"/>
      <c r="AD138" s="73"/>
      <c r="AE138" s="13"/>
    </row>
    <row r="139" spans="29:31" x14ac:dyDescent="0.25">
      <c r="AC139" s="73"/>
      <c r="AD139" s="73"/>
      <c r="AE139" s="13"/>
    </row>
    <row r="140" spans="29:31" x14ac:dyDescent="0.25">
      <c r="AC140" s="73"/>
      <c r="AD140" s="73"/>
      <c r="AE140" s="13"/>
    </row>
    <row r="141" spans="29:31" x14ac:dyDescent="0.25">
      <c r="AC141" s="73"/>
      <c r="AD141" s="73"/>
      <c r="AE141" s="13"/>
    </row>
    <row r="142" spans="29:31" x14ac:dyDescent="0.25">
      <c r="AC142" s="73"/>
      <c r="AD142" s="73"/>
      <c r="AE142" s="13"/>
    </row>
    <row r="143" spans="29:31" x14ac:dyDescent="0.25">
      <c r="AC143" s="73"/>
      <c r="AD143" s="73"/>
      <c r="AE143" s="13"/>
    </row>
    <row r="144" spans="29:31" x14ac:dyDescent="0.25">
      <c r="AC144" s="542"/>
      <c r="AD144" s="542"/>
      <c r="AE144" s="13"/>
    </row>
    <row r="145" spans="29:29" x14ac:dyDescent="0.25">
      <c r="AC145" s="546" t="s">
        <v>637</v>
      </c>
    </row>
  </sheetData>
  <sortState xmlns:xlrd2="http://schemas.microsoft.com/office/spreadsheetml/2017/richdata2" ref="E3:F18">
    <sortCondition ref="F3:F18"/>
  </sortState>
  <mergeCells count="6">
    <mergeCell ref="J58:U58"/>
    <mergeCell ref="AF2:AG2"/>
    <mergeCell ref="A20:F20"/>
    <mergeCell ref="AF22:AG22"/>
    <mergeCell ref="W40:AF40"/>
    <mergeCell ref="J57:U57"/>
  </mergeCells>
  <pageMargins left="0.7" right="0.7" top="0.75" bottom="0.75" header="0.3" footer="0.3"/>
  <ignoredErrors>
    <ignoredError sqref="Y2 Y22 L2 L21" twoDigitTextYear="1"/>
  </ignoredError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FCD14-334A-4DB3-B925-68B3AC732DA1}">
  <dimension ref="A1:R59"/>
  <sheetViews>
    <sheetView workbookViewId="0">
      <selection activeCell="S43" sqref="S43"/>
    </sheetView>
  </sheetViews>
  <sheetFormatPr defaultRowHeight="14.3" x14ac:dyDescent="0.25"/>
  <cols>
    <col min="1" max="1" width="11.5" bestFit="1" customWidth="1"/>
    <col min="2" max="2" width="4.625" customWidth="1"/>
    <col min="3" max="3" width="28.625" customWidth="1"/>
    <col min="4" max="4" width="4.625" customWidth="1"/>
    <col min="7" max="7" width="1.625" customWidth="1"/>
    <col min="8" max="8" width="11.5" bestFit="1" customWidth="1"/>
  </cols>
  <sheetData>
    <row r="1" spans="1:18" ht="14.95" customHeight="1" thickBot="1" x14ac:dyDescent="0.3">
      <c r="A1" s="474" t="s">
        <v>418</v>
      </c>
    </row>
    <row r="2" spans="1:18" ht="14.95" customHeight="1" thickBot="1" x14ac:dyDescent="0.3">
      <c r="A2" s="48"/>
      <c r="B2" s="702" t="s">
        <v>49</v>
      </c>
      <c r="C2" s="703"/>
      <c r="D2" s="693" t="s">
        <v>50</v>
      </c>
      <c r="E2" s="694"/>
      <c r="F2" s="61" t="s">
        <v>51</v>
      </c>
      <c r="H2" s="697" t="s">
        <v>53</v>
      </c>
      <c r="I2" s="699" t="s">
        <v>61</v>
      </c>
      <c r="J2" s="700"/>
      <c r="K2" s="699" t="s">
        <v>62</v>
      </c>
      <c r="L2" s="701"/>
      <c r="M2" s="701"/>
      <c r="N2" s="701"/>
      <c r="O2" s="700"/>
      <c r="P2" s="699" t="s">
        <v>64</v>
      </c>
      <c r="Q2" s="700"/>
    </row>
    <row r="3" spans="1:18" ht="14.95" customHeight="1" thickBot="1" x14ac:dyDescent="0.3">
      <c r="A3" s="318" t="s">
        <v>32</v>
      </c>
      <c r="B3" s="215">
        <v>0</v>
      </c>
      <c r="C3" s="67"/>
      <c r="D3" s="62">
        <v>0</v>
      </c>
      <c r="E3" s="63"/>
      <c r="F3" s="64">
        <f t="shared" ref="F3:F18" si="0">SUM(B3+D3*2)</f>
        <v>0</v>
      </c>
      <c r="H3" s="698"/>
      <c r="I3" s="81" t="s">
        <v>4</v>
      </c>
      <c r="J3" s="81" t="s">
        <v>5</v>
      </c>
      <c r="K3" s="82" t="s">
        <v>88</v>
      </c>
      <c r="L3" s="83" t="s">
        <v>89</v>
      </c>
      <c r="M3" s="83" t="s">
        <v>90</v>
      </c>
      <c r="N3" s="84" t="s">
        <v>91</v>
      </c>
      <c r="O3" s="85" t="s">
        <v>65</v>
      </c>
      <c r="P3" s="82" t="s">
        <v>4</v>
      </c>
      <c r="Q3" s="85" t="s">
        <v>5</v>
      </c>
    </row>
    <row r="4" spans="1:18" ht="14.95" customHeight="1" thickBot="1" x14ac:dyDescent="0.3">
      <c r="A4" s="294" t="s">
        <v>29</v>
      </c>
      <c r="B4" s="215">
        <v>1</v>
      </c>
      <c r="C4" s="67" t="s">
        <v>784</v>
      </c>
      <c r="D4" s="62">
        <v>0</v>
      </c>
      <c r="E4" s="63"/>
      <c r="F4" s="64">
        <f t="shared" si="0"/>
        <v>1</v>
      </c>
      <c r="H4" s="217" t="s">
        <v>29</v>
      </c>
      <c r="I4" s="87">
        <v>0</v>
      </c>
      <c r="J4" s="87">
        <v>14</v>
      </c>
      <c r="K4" s="87">
        <v>10</v>
      </c>
      <c r="L4" s="87">
        <v>0</v>
      </c>
      <c r="M4" s="87">
        <v>0</v>
      </c>
      <c r="N4" s="87">
        <v>0</v>
      </c>
      <c r="O4" s="88">
        <f t="shared" ref="O4:O19" si="1">SUM(K4:N4)</f>
        <v>10</v>
      </c>
      <c r="P4" s="316">
        <f t="shared" ref="P4" si="2">SUM(I4/O4)*10</f>
        <v>0</v>
      </c>
      <c r="Q4" s="317">
        <f t="shared" ref="Q4" si="3">SUM(J4/O4)*10</f>
        <v>14</v>
      </c>
    </row>
    <row r="5" spans="1:18" ht="14.95" customHeight="1" thickBot="1" x14ac:dyDescent="0.3">
      <c r="A5" s="481" t="s">
        <v>243</v>
      </c>
      <c r="B5" s="215">
        <v>1</v>
      </c>
      <c r="C5" s="67" t="s">
        <v>791</v>
      </c>
      <c r="D5" s="62">
        <v>0</v>
      </c>
      <c r="E5" s="63"/>
      <c r="F5" s="64">
        <f t="shared" si="0"/>
        <v>1</v>
      </c>
      <c r="H5" s="482" t="s">
        <v>243</v>
      </c>
      <c r="I5" s="87">
        <v>0</v>
      </c>
      <c r="J5" s="87">
        <v>22</v>
      </c>
      <c r="K5" s="87">
        <v>10</v>
      </c>
      <c r="L5" s="87">
        <v>0</v>
      </c>
      <c r="M5" s="87">
        <v>0</v>
      </c>
      <c r="N5" s="87">
        <v>0</v>
      </c>
      <c r="O5" s="88">
        <f t="shared" si="1"/>
        <v>10</v>
      </c>
      <c r="P5" s="316">
        <f t="shared" ref="P5" si="4">SUM(I5/O5)*10</f>
        <v>0</v>
      </c>
      <c r="Q5" s="317">
        <f t="shared" ref="Q5" si="5">SUM(J5/O5)*10</f>
        <v>22</v>
      </c>
    </row>
    <row r="6" spans="1:18" ht="14.95" customHeight="1" thickBot="1" x14ac:dyDescent="0.3">
      <c r="A6" s="309" t="s">
        <v>99</v>
      </c>
      <c r="B6" s="215">
        <v>1</v>
      </c>
      <c r="C6" s="67" t="s">
        <v>746</v>
      </c>
      <c r="D6" s="62">
        <v>0</v>
      </c>
      <c r="E6" s="63"/>
      <c r="F6" s="64">
        <f t="shared" si="0"/>
        <v>1</v>
      </c>
      <c r="H6" s="247" t="s">
        <v>36</v>
      </c>
      <c r="I6" s="87">
        <v>7</v>
      </c>
      <c r="J6" s="87">
        <v>0</v>
      </c>
      <c r="K6" s="87">
        <v>20</v>
      </c>
      <c r="L6" s="87">
        <v>0</v>
      </c>
      <c r="M6" s="87">
        <v>0</v>
      </c>
      <c r="N6" s="87">
        <v>0</v>
      </c>
      <c r="O6" s="88">
        <f t="shared" si="1"/>
        <v>20</v>
      </c>
      <c r="P6" s="316">
        <f t="shared" ref="P6" si="6">SUM(I6/O6)*10</f>
        <v>3.5</v>
      </c>
      <c r="Q6" s="317">
        <f t="shared" ref="Q6" si="7">SUM(J6/O6)*10</f>
        <v>0</v>
      </c>
    </row>
    <row r="7" spans="1:18" ht="14.95" customHeight="1" thickBot="1" x14ac:dyDescent="0.3">
      <c r="A7" s="216" t="s">
        <v>34</v>
      </c>
      <c r="B7" s="215">
        <v>1</v>
      </c>
      <c r="C7" s="67" t="s">
        <v>255</v>
      </c>
      <c r="D7" s="62">
        <v>0</v>
      </c>
      <c r="E7" s="63"/>
      <c r="F7" s="64">
        <f t="shared" si="0"/>
        <v>1</v>
      </c>
      <c r="H7" s="97" t="s">
        <v>30</v>
      </c>
      <c r="I7" s="87">
        <v>0</v>
      </c>
      <c r="J7" s="87">
        <v>5</v>
      </c>
      <c r="K7" s="87">
        <v>14</v>
      </c>
      <c r="L7" s="87">
        <v>0</v>
      </c>
      <c r="M7" s="87">
        <v>0</v>
      </c>
      <c r="N7" s="87">
        <v>0</v>
      </c>
      <c r="O7" s="88">
        <f t="shared" si="1"/>
        <v>14</v>
      </c>
      <c r="P7" s="316">
        <f t="shared" ref="P7" si="8">SUM(I7/O7)*10</f>
        <v>0</v>
      </c>
      <c r="Q7" s="317">
        <f t="shared" ref="Q7" si="9">SUM(J7/O7)*10</f>
        <v>3.5714285714285716</v>
      </c>
    </row>
    <row r="8" spans="1:18" ht="14.95" customHeight="1" thickBot="1" x14ac:dyDescent="0.3">
      <c r="A8" s="361" t="s">
        <v>133</v>
      </c>
      <c r="B8" s="215">
        <v>1</v>
      </c>
      <c r="C8" s="67" t="s">
        <v>788</v>
      </c>
      <c r="D8" s="62">
        <v>0</v>
      </c>
      <c r="E8" s="63"/>
      <c r="F8" s="64">
        <f t="shared" si="0"/>
        <v>1</v>
      </c>
      <c r="H8" s="222" t="s">
        <v>166</v>
      </c>
      <c r="I8" s="87">
        <v>5</v>
      </c>
      <c r="J8" s="87">
        <v>34</v>
      </c>
      <c r="K8" s="87">
        <v>45</v>
      </c>
      <c r="L8" s="87">
        <v>1</v>
      </c>
      <c r="M8" s="87">
        <v>0</v>
      </c>
      <c r="N8" s="87">
        <v>0</v>
      </c>
      <c r="O8" s="88">
        <f t="shared" si="1"/>
        <v>46</v>
      </c>
      <c r="P8" s="316">
        <f t="shared" ref="P8" si="10">SUM(I8/O8)*10</f>
        <v>1.0869565217391304</v>
      </c>
      <c r="Q8" s="317">
        <f t="shared" ref="Q8" si="11">SUM(J8/O8)*10</f>
        <v>7.391304347826086</v>
      </c>
    </row>
    <row r="9" spans="1:18" ht="14.95" customHeight="1" thickBot="1" x14ac:dyDescent="0.3">
      <c r="A9" s="320" t="s">
        <v>36</v>
      </c>
      <c r="B9" s="215">
        <v>2</v>
      </c>
      <c r="C9" s="117" t="s">
        <v>706</v>
      </c>
      <c r="D9" s="62">
        <v>0</v>
      </c>
      <c r="E9" s="63"/>
      <c r="F9" s="64">
        <f t="shared" si="0"/>
        <v>2</v>
      </c>
      <c r="H9" s="34" t="s">
        <v>33</v>
      </c>
      <c r="I9" s="87">
        <v>5</v>
      </c>
      <c r="J9" s="87">
        <v>7</v>
      </c>
      <c r="K9" s="87">
        <v>21</v>
      </c>
      <c r="L9" s="87">
        <v>0</v>
      </c>
      <c r="M9" s="87">
        <v>0</v>
      </c>
      <c r="N9" s="87">
        <v>0</v>
      </c>
      <c r="O9" s="88">
        <f t="shared" si="1"/>
        <v>21</v>
      </c>
      <c r="P9" s="316">
        <f t="shared" ref="P9" si="12">SUM(I9/O9)*10</f>
        <v>2.3809523809523809</v>
      </c>
      <c r="Q9" s="317">
        <f t="shared" ref="Q9" si="13">SUM(J9/O9)*10</f>
        <v>3.333333333333333</v>
      </c>
    </row>
    <row r="10" spans="1:18" ht="14.95" customHeight="1" thickBot="1" x14ac:dyDescent="0.3">
      <c r="A10" s="96" t="s">
        <v>30</v>
      </c>
      <c r="B10" s="215">
        <v>2</v>
      </c>
      <c r="C10" s="67" t="s">
        <v>838</v>
      </c>
      <c r="D10" s="62">
        <v>0</v>
      </c>
      <c r="E10" s="63"/>
      <c r="F10" s="64">
        <f t="shared" si="0"/>
        <v>2</v>
      </c>
      <c r="H10" s="59" t="s">
        <v>35</v>
      </c>
      <c r="I10" s="87">
        <v>0</v>
      </c>
      <c r="J10" s="87">
        <v>12</v>
      </c>
      <c r="K10" s="87">
        <v>20</v>
      </c>
      <c r="L10" s="87">
        <v>0</v>
      </c>
      <c r="M10" s="87">
        <v>0</v>
      </c>
      <c r="N10" s="87">
        <v>0</v>
      </c>
      <c r="O10" s="88">
        <f t="shared" si="1"/>
        <v>20</v>
      </c>
      <c r="P10" s="316">
        <f t="shared" ref="P10" si="14">SUM(I10/O10)*10</f>
        <v>0</v>
      </c>
      <c r="Q10" s="317">
        <f t="shared" ref="Q10" si="15">SUM(J10/O10)*10</f>
        <v>6</v>
      </c>
    </row>
    <row r="11" spans="1:18" ht="14.95" customHeight="1" thickBot="1" x14ac:dyDescent="0.3">
      <c r="A11" s="59" t="s">
        <v>35</v>
      </c>
      <c r="B11" s="215">
        <v>2</v>
      </c>
      <c r="C11" s="68" t="s">
        <v>817</v>
      </c>
      <c r="D11" s="62">
        <v>0</v>
      </c>
      <c r="E11" s="63"/>
      <c r="F11" s="64">
        <f t="shared" si="0"/>
        <v>2</v>
      </c>
      <c r="H11" s="143" t="s">
        <v>32</v>
      </c>
      <c r="I11" s="87">
        <v>0</v>
      </c>
      <c r="J11" s="87">
        <v>0</v>
      </c>
      <c r="K11" s="87">
        <v>0</v>
      </c>
      <c r="L11" s="87">
        <v>0</v>
      </c>
      <c r="M11" s="87">
        <v>0</v>
      </c>
      <c r="N11" s="87">
        <v>0</v>
      </c>
      <c r="O11" s="88">
        <f t="shared" si="1"/>
        <v>0</v>
      </c>
      <c r="P11" s="316" t="s">
        <v>100</v>
      </c>
      <c r="Q11" s="317" t="s">
        <v>100</v>
      </c>
      <c r="R11" s="73" t="s">
        <v>118</v>
      </c>
    </row>
    <row r="12" spans="1:18" ht="14.95" customHeight="1" thickBot="1" x14ac:dyDescent="0.3">
      <c r="A12" s="318" t="s">
        <v>55</v>
      </c>
      <c r="B12" s="215">
        <v>2</v>
      </c>
      <c r="C12" s="67" t="s">
        <v>776</v>
      </c>
      <c r="D12" s="62">
        <v>0</v>
      </c>
      <c r="E12" s="63"/>
      <c r="F12" s="64">
        <f t="shared" si="0"/>
        <v>2</v>
      </c>
      <c r="H12" s="234" t="s">
        <v>99</v>
      </c>
      <c r="I12" s="87">
        <v>7</v>
      </c>
      <c r="J12" s="87">
        <v>7</v>
      </c>
      <c r="K12" s="87">
        <v>10</v>
      </c>
      <c r="L12" s="87">
        <v>0</v>
      </c>
      <c r="M12" s="87">
        <v>0</v>
      </c>
      <c r="N12" s="87">
        <v>0</v>
      </c>
      <c r="O12" s="88">
        <f t="shared" si="1"/>
        <v>10</v>
      </c>
      <c r="P12" s="316">
        <f t="shared" ref="P12" si="16">SUM(I12/O12)*10</f>
        <v>7</v>
      </c>
      <c r="Q12" s="317">
        <f t="shared" ref="Q12" si="17">SUM(J12/O12)*10</f>
        <v>7</v>
      </c>
    </row>
    <row r="13" spans="1:18" ht="14.95" customHeight="1" thickBot="1" x14ac:dyDescent="0.3">
      <c r="A13" s="58" t="s">
        <v>31</v>
      </c>
      <c r="B13" s="215">
        <v>2</v>
      </c>
      <c r="C13" s="67" t="s">
        <v>704</v>
      </c>
      <c r="D13" s="62">
        <v>0</v>
      </c>
      <c r="E13" s="63"/>
      <c r="F13" s="64">
        <f t="shared" si="0"/>
        <v>2</v>
      </c>
      <c r="H13" s="295" t="s">
        <v>72</v>
      </c>
      <c r="I13" s="87">
        <v>24</v>
      </c>
      <c r="J13" s="87">
        <v>7</v>
      </c>
      <c r="K13" s="87">
        <v>23</v>
      </c>
      <c r="L13" s="87">
        <v>0</v>
      </c>
      <c r="M13" s="87">
        <v>0</v>
      </c>
      <c r="N13" s="87">
        <v>0</v>
      </c>
      <c r="O13" s="88">
        <f t="shared" si="1"/>
        <v>23</v>
      </c>
      <c r="P13" s="316">
        <f t="shared" ref="P13" si="18">SUM(I13/O13)*10</f>
        <v>10.434782608695652</v>
      </c>
      <c r="Q13" s="317">
        <f t="shared" ref="Q13" si="19">SUM(J13/O13)*10</f>
        <v>3.0434782608695654</v>
      </c>
    </row>
    <row r="14" spans="1:18" ht="14.95" customHeight="1" thickBot="1" x14ac:dyDescent="0.3">
      <c r="A14" s="319" t="s">
        <v>307</v>
      </c>
      <c r="B14" s="215">
        <v>0</v>
      </c>
      <c r="C14" s="67"/>
      <c r="D14" s="62">
        <v>1</v>
      </c>
      <c r="E14" s="63" t="s">
        <v>799</v>
      </c>
      <c r="F14" s="64">
        <f t="shared" si="0"/>
        <v>2</v>
      </c>
      <c r="H14" s="143" t="s">
        <v>98</v>
      </c>
      <c r="I14" s="87">
        <v>0</v>
      </c>
      <c r="J14" s="87">
        <v>19</v>
      </c>
      <c r="K14" s="87">
        <v>17</v>
      </c>
      <c r="L14" s="87">
        <v>0</v>
      </c>
      <c r="M14" s="87">
        <v>0</v>
      </c>
      <c r="N14" s="87">
        <v>0</v>
      </c>
      <c r="O14" s="88">
        <f t="shared" si="1"/>
        <v>17</v>
      </c>
      <c r="P14" s="316">
        <f t="shared" ref="P14:P18" si="20">SUM(I14/O14)*10</f>
        <v>0</v>
      </c>
      <c r="Q14" s="317">
        <f t="shared" ref="Q14:Q20" si="21">SUM(J14/O14)*10</f>
        <v>11.176470588235293</v>
      </c>
    </row>
    <row r="15" spans="1:18" ht="14.95" customHeight="1" thickBot="1" x14ac:dyDescent="0.3">
      <c r="A15" s="216" t="s">
        <v>33</v>
      </c>
      <c r="B15" s="215">
        <v>3</v>
      </c>
      <c r="C15" s="68" t="s">
        <v>816</v>
      </c>
      <c r="D15" s="62">
        <v>0</v>
      </c>
      <c r="E15" s="63"/>
      <c r="F15" s="64">
        <f t="shared" si="0"/>
        <v>3</v>
      </c>
      <c r="H15" s="34" t="s">
        <v>34</v>
      </c>
      <c r="I15" s="87">
        <v>0</v>
      </c>
      <c r="J15" s="87">
        <v>12</v>
      </c>
      <c r="K15" s="87">
        <v>10</v>
      </c>
      <c r="L15" s="87">
        <v>0</v>
      </c>
      <c r="M15" s="87">
        <v>0</v>
      </c>
      <c r="N15" s="87">
        <v>0</v>
      </c>
      <c r="O15" s="88">
        <f t="shared" si="1"/>
        <v>10</v>
      </c>
      <c r="P15" s="316">
        <f t="shared" ref="P15" si="22">SUM(I15/O15)*10</f>
        <v>0</v>
      </c>
      <c r="Q15" s="317">
        <f t="shared" ref="Q15" si="23">SUM(J15/O15)*10</f>
        <v>12</v>
      </c>
    </row>
    <row r="16" spans="1:18" ht="14.95" customHeight="1" thickBot="1" x14ac:dyDescent="0.3">
      <c r="A16" s="293" t="s">
        <v>72</v>
      </c>
      <c r="B16" s="215">
        <v>1</v>
      </c>
      <c r="C16" s="117" t="s">
        <v>743</v>
      </c>
      <c r="D16" s="62">
        <v>1</v>
      </c>
      <c r="E16" s="63" t="s">
        <v>744</v>
      </c>
      <c r="F16" s="64">
        <f t="shared" si="0"/>
        <v>3</v>
      </c>
      <c r="H16" s="278" t="s">
        <v>307</v>
      </c>
      <c r="I16" s="87">
        <v>7</v>
      </c>
      <c r="J16" s="87">
        <v>45</v>
      </c>
      <c r="K16" s="87">
        <v>55</v>
      </c>
      <c r="L16" s="87">
        <v>0</v>
      </c>
      <c r="M16" s="87">
        <v>0</v>
      </c>
      <c r="N16" s="87">
        <v>0</v>
      </c>
      <c r="O16" s="88">
        <f t="shared" ref="O16" si="24">SUM(K16:N16)</f>
        <v>55</v>
      </c>
      <c r="P16" s="316">
        <f t="shared" ref="P16" si="25">SUM(I16/O16)*10</f>
        <v>1.2727272727272725</v>
      </c>
      <c r="Q16" s="317">
        <f t="shared" ref="Q16" si="26">SUM(J16/O16)*10</f>
        <v>8.1818181818181817</v>
      </c>
      <c r="R16" t="s">
        <v>53</v>
      </c>
    </row>
    <row r="17" spans="1:18" ht="14.95" customHeight="1" thickBot="1" x14ac:dyDescent="0.3">
      <c r="A17" s="318" t="s">
        <v>98</v>
      </c>
      <c r="B17" s="215">
        <v>1</v>
      </c>
      <c r="C17" s="67" t="s">
        <v>666</v>
      </c>
      <c r="D17" s="62">
        <v>1</v>
      </c>
      <c r="E17" s="63" t="s">
        <v>665</v>
      </c>
      <c r="F17" s="64">
        <f t="shared" si="0"/>
        <v>3</v>
      </c>
      <c r="H17" s="393" t="s">
        <v>133</v>
      </c>
      <c r="I17" s="87">
        <v>0</v>
      </c>
      <c r="J17" s="87">
        <v>7</v>
      </c>
      <c r="K17" s="87">
        <v>10</v>
      </c>
      <c r="L17" s="87">
        <v>0</v>
      </c>
      <c r="M17" s="87">
        <v>0</v>
      </c>
      <c r="N17" s="87">
        <v>0</v>
      </c>
      <c r="O17" s="88">
        <f t="shared" si="1"/>
        <v>10</v>
      </c>
      <c r="P17" s="316">
        <f t="shared" ref="P17" si="27">SUM(I17/O17)*10</f>
        <v>0</v>
      </c>
      <c r="Q17" s="317">
        <f t="shared" ref="Q17" si="28">SUM(J17/O17)*10</f>
        <v>7</v>
      </c>
    </row>
    <row r="18" spans="1:18" ht="14.95" customHeight="1" thickBot="1" x14ac:dyDescent="0.3">
      <c r="A18" s="360" t="s">
        <v>166</v>
      </c>
      <c r="B18" s="215">
        <v>2</v>
      </c>
      <c r="C18" s="343" t="s">
        <v>712</v>
      </c>
      <c r="D18" s="62">
        <v>2</v>
      </c>
      <c r="E18" s="63" t="s">
        <v>707</v>
      </c>
      <c r="F18" s="64">
        <f t="shared" si="0"/>
        <v>6</v>
      </c>
      <c r="H18" s="143" t="s">
        <v>55</v>
      </c>
      <c r="I18" s="87">
        <v>7</v>
      </c>
      <c r="J18" s="87">
        <v>14</v>
      </c>
      <c r="K18" s="87">
        <v>20</v>
      </c>
      <c r="L18" s="87">
        <v>0</v>
      </c>
      <c r="M18" s="87">
        <v>0</v>
      </c>
      <c r="N18" s="87">
        <v>0</v>
      </c>
      <c r="O18" s="88">
        <f t="shared" si="1"/>
        <v>20</v>
      </c>
      <c r="P18" s="316">
        <f t="shared" si="20"/>
        <v>3.5</v>
      </c>
      <c r="Q18" s="317">
        <f t="shared" si="21"/>
        <v>7</v>
      </c>
    </row>
    <row r="19" spans="1:18" ht="14.95" customHeight="1" thickBot="1" x14ac:dyDescent="0.3">
      <c r="A19" s="102" t="s">
        <v>52</v>
      </c>
      <c r="B19" s="65">
        <f>SUM(B3:B18)</f>
        <v>22</v>
      </c>
      <c r="C19" s="68"/>
      <c r="D19" s="69">
        <f>SUM(D3:D18)</f>
        <v>5</v>
      </c>
      <c r="E19" s="70"/>
      <c r="F19" s="61" t="s">
        <v>53</v>
      </c>
      <c r="H19" s="8" t="s">
        <v>31</v>
      </c>
      <c r="I19" s="87">
        <v>0</v>
      </c>
      <c r="J19" s="87">
        <v>14</v>
      </c>
      <c r="K19" s="87">
        <v>20</v>
      </c>
      <c r="L19" s="87">
        <v>0</v>
      </c>
      <c r="M19" s="87">
        <v>0</v>
      </c>
      <c r="N19" s="87">
        <v>0</v>
      </c>
      <c r="O19" s="110">
        <f t="shared" si="1"/>
        <v>20</v>
      </c>
      <c r="P19" s="316">
        <f t="shared" ref="P19" si="29">SUM(I19/O19)*10</f>
        <v>0</v>
      </c>
      <c r="Q19" s="317">
        <f t="shared" ref="Q19" si="30">SUM(J19/O19)*10</f>
        <v>7</v>
      </c>
    </row>
    <row r="20" spans="1:18" ht="14.95" customHeight="1" thickBot="1" x14ac:dyDescent="0.3">
      <c r="A20" s="73" t="s">
        <v>745</v>
      </c>
      <c r="D20" s="71"/>
      <c r="E20" s="72"/>
      <c r="H20" s="94" t="s">
        <v>52</v>
      </c>
      <c r="I20" s="89">
        <f>SUM(I4:I19)</f>
        <v>62</v>
      </c>
      <c r="J20" s="89">
        <f>SUM(J4:J19)</f>
        <v>219</v>
      </c>
      <c r="K20" s="89">
        <f>SUM(K4:K19)</f>
        <v>305</v>
      </c>
      <c r="L20" s="89">
        <f>SUM(L4:L18)</f>
        <v>1</v>
      </c>
      <c r="M20" s="89">
        <f>SUM(M4:M18)</f>
        <v>0</v>
      </c>
      <c r="N20" s="89">
        <f>SUM(N4:N18)</f>
        <v>0</v>
      </c>
      <c r="O20" s="89">
        <f>SUM(O4:O18)</f>
        <v>286</v>
      </c>
      <c r="P20" s="304">
        <f t="shared" ref="P20" si="31">SUM(I20/O20)*10</f>
        <v>2.1678321678321675</v>
      </c>
      <c r="Q20" s="305">
        <f t="shared" si="21"/>
        <v>7.6573426573426575</v>
      </c>
    </row>
    <row r="21" spans="1:18" ht="14.95" customHeight="1" x14ac:dyDescent="0.25">
      <c r="A21" s="73" t="s">
        <v>54</v>
      </c>
      <c r="B21" s="73"/>
    </row>
    <row r="22" spans="1:18" ht="14.95" customHeight="1" x14ac:dyDescent="0.25">
      <c r="A22" s="695" t="s">
        <v>147</v>
      </c>
      <c r="B22" s="695"/>
      <c r="C22" s="696"/>
      <c r="D22" s="696"/>
      <c r="H22" s="73" t="s">
        <v>81</v>
      </c>
      <c r="R22" t="s">
        <v>53</v>
      </c>
    </row>
    <row r="23" spans="1:18" ht="14.95" customHeight="1" thickBot="1" x14ac:dyDescent="0.35">
      <c r="A23" s="681" t="s">
        <v>28</v>
      </c>
      <c r="B23" s="14"/>
      <c r="E23" t="s">
        <v>53</v>
      </c>
      <c r="I23" s="73"/>
      <c r="R23" t="s">
        <v>53</v>
      </c>
    </row>
    <row r="24" spans="1:18" ht="14.95" customHeight="1" thickBot="1" x14ac:dyDescent="0.3">
      <c r="H24" s="697" t="s">
        <v>53</v>
      </c>
      <c r="I24" s="699" t="s">
        <v>61</v>
      </c>
      <c r="J24" s="700"/>
      <c r="K24" s="699" t="s">
        <v>53</v>
      </c>
      <c r="L24" s="701"/>
      <c r="M24" s="701"/>
      <c r="N24" s="701"/>
      <c r="O24" s="700"/>
      <c r="P24" s="699" t="s">
        <v>64</v>
      </c>
      <c r="Q24" s="700"/>
    </row>
    <row r="25" spans="1:18" ht="14.95" customHeight="1" thickBot="1" x14ac:dyDescent="0.3">
      <c r="H25" s="698"/>
      <c r="I25" s="81" t="s">
        <v>4</v>
      </c>
      <c r="J25" s="81" t="s">
        <v>5</v>
      </c>
      <c r="K25" s="82" t="s">
        <v>67</v>
      </c>
      <c r="L25" s="83" t="s">
        <v>68</v>
      </c>
      <c r="M25" s="83" t="s">
        <v>96</v>
      </c>
      <c r="N25" s="84"/>
      <c r="O25" s="85" t="s">
        <v>65</v>
      </c>
      <c r="P25" s="82" t="s">
        <v>4</v>
      </c>
      <c r="Q25" s="85" t="s">
        <v>5</v>
      </c>
    </row>
    <row r="26" spans="1:18" ht="14.95" customHeight="1" thickBot="1" x14ac:dyDescent="0.3">
      <c r="H26" s="217" t="s">
        <v>29</v>
      </c>
      <c r="I26" s="87">
        <v>19</v>
      </c>
      <c r="J26" s="87">
        <v>0</v>
      </c>
      <c r="K26" s="365">
        <v>17</v>
      </c>
      <c r="L26" s="367">
        <v>0</v>
      </c>
      <c r="M26" s="367">
        <v>0</v>
      </c>
      <c r="N26" s="311">
        <v>0</v>
      </c>
      <c r="O26" s="88">
        <f t="shared" ref="O26:O41" si="32">SUM(K26:N26)</f>
        <v>17</v>
      </c>
      <c r="P26" s="316">
        <f t="shared" ref="P26:P29" si="33">SUM(I26/O26)*10</f>
        <v>11.176470588235293</v>
      </c>
      <c r="Q26" s="317">
        <f t="shared" ref="Q26:Q29" si="34">SUM(J26/O26)*10</f>
        <v>0</v>
      </c>
    </row>
    <row r="27" spans="1:18" ht="14.95" customHeight="1" thickBot="1" x14ac:dyDescent="0.3">
      <c r="H27" s="482" t="s">
        <v>243</v>
      </c>
      <c r="I27" s="87">
        <v>0</v>
      </c>
      <c r="J27" s="87">
        <v>0</v>
      </c>
      <c r="K27" s="87">
        <v>0</v>
      </c>
      <c r="L27" s="368">
        <v>0</v>
      </c>
      <c r="M27" s="368">
        <v>0</v>
      </c>
      <c r="N27" s="311">
        <v>0</v>
      </c>
      <c r="O27" s="88">
        <f t="shared" si="32"/>
        <v>0</v>
      </c>
      <c r="P27" s="316" t="s">
        <v>100</v>
      </c>
      <c r="Q27" s="317" t="s">
        <v>100</v>
      </c>
      <c r="R27" s="73" t="s">
        <v>101</v>
      </c>
    </row>
    <row r="28" spans="1:18" ht="14.95" customHeight="1" thickBot="1" x14ac:dyDescent="0.3">
      <c r="H28" s="248" t="s">
        <v>36</v>
      </c>
      <c r="I28" s="87">
        <v>48</v>
      </c>
      <c r="J28" s="87">
        <v>0</v>
      </c>
      <c r="K28" s="87">
        <v>42</v>
      </c>
      <c r="L28" s="368">
        <v>0</v>
      </c>
      <c r="M28" s="368">
        <v>0</v>
      </c>
      <c r="N28" s="311">
        <v>0</v>
      </c>
      <c r="O28" s="88">
        <f t="shared" si="32"/>
        <v>42</v>
      </c>
      <c r="P28" s="316">
        <f t="shared" ref="P28" si="35">SUM(I28/O28)*10</f>
        <v>11.428571428571427</v>
      </c>
      <c r="Q28" s="317">
        <f t="shared" ref="Q28" si="36">SUM(J28/O28)*10</f>
        <v>0</v>
      </c>
    </row>
    <row r="29" spans="1:18" ht="14.95" customHeight="1" thickBot="1" x14ac:dyDescent="0.3">
      <c r="H29" s="97" t="s">
        <v>30</v>
      </c>
      <c r="I29" s="87">
        <v>28</v>
      </c>
      <c r="J29" s="87">
        <v>7</v>
      </c>
      <c r="K29" s="87">
        <v>20</v>
      </c>
      <c r="L29" s="368">
        <v>0</v>
      </c>
      <c r="M29" s="368">
        <v>0</v>
      </c>
      <c r="N29" s="311">
        <v>0</v>
      </c>
      <c r="O29" s="88">
        <f t="shared" si="32"/>
        <v>20</v>
      </c>
      <c r="P29" s="316">
        <f t="shared" si="33"/>
        <v>14</v>
      </c>
      <c r="Q29" s="317">
        <f t="shared" si="34"/>
        <v>3.5</v>
      </c>
    </row>
    <row r="30" spans="1:18" ht="14.95" customHeight="1" thickBot="1" x14ac:dyDescent="0.3">
      <c r="H30" s="222" t="s">
        <v>166</v>
      </c>
      <c r="I30" s="87">
        <v>0</v>
      </c>
      <c r="J30" s="87">
        <v>7</v>
      </c>
      <c r="K30" s="87">
        <v>10</v>
      </c>
      <c r="L30" s="368">
        <v>0</v>
      </c>
      <c r="M30" s="368">
        <v>0</v>
      </c>
      <c r="N30" s="311">
        <v>0</v>
      </c>
      <c r="O30" s="88">
        <f t="shared" si="32"/>
        <v>10</v>
      </c>
      <c r="P30" s="316">
        <f t="shared" ref="P30" si="37">SUM(I30/O30)*10</f>
        <v>0</v>
      </c>
      <c r="Q30" s="317">
        <f t="shared" ref="Q30" si="38">SUM(J30/O30)*10</f>
        <v>7</v>
      </c>
    </row>
    <row r="31" spans="1:18" ht="14.95" customHeight="1" thickBot="1" x14ac:dyDescent="0.3">
      <c r="H31" s="34" t="s">
        <v>33</v>
      </c>
      <c r="I31" s="87">
        <v>57</v>
      </c>
      <c r="J31" s="87">
        <v>7</v>
      </c>
      <c r="K31" s="87">
        <v>65</v>
      </c>
      <c r="L31" s="368">
        <v>0</v>
      </c>
      <c r="M31" s="368">
        <v>0</v>
      </c>
      <c r="N31" s="311">
        <v>0</v>
      </c>
      <c r="O31" s="88">
        <f t="shared" si="32"/>
        <v>65</v>
      </c>
      <c r="P31" s="316">
        <f t="shared" ref="P31" si="39">SUM(I31/O31)*10</f>
        <v>8.7692307692307701</v>
      </c>
      <c r="Q31" s="317">
        <f t="shared" ref="Q31" si="40">SUM(J31/O31)*10</f>
        <v>1.0769230769230771</v>
      </c>
    </row>
    <row r="32" spans="1:18" ht="14.95" customHeight="1" thickBot="1" x14ac:dyDescent="0.3">
      <c r="H32" s="21" t="s">
        <v>35</v>
      </c>
      <c r="I32" s="87">
        <v>7</v>
      </c>
      <c r="J32" s="87">
        <v>5</v>
      </c>
      <c r="K32" s="87">
        <v>21</v>
      </c>
      <c r="L32" s="368">
        <v>0</v>
      </c>
      <c r="M32" s="368">
        <v>0</v>
      </c>
      <c r="N32" s="311">
        <v>0</v>
      </c>
      <c r="O32" s="88">
        <f t="shared" si="32"/>
        <v>21</v>
      </c>
      <c r="P32" s="316">
        <f t="shared" ref="P32" si="41">SUM(I32/O32)*10</f>
        <v>3.333333333333333</v>
      </c>
      <c r="Q32" s="317">
        <f t="shared" ref="Q32" si="42">SUM(J32/O32)*10</f>
        <v>2.3809523809523809</v>
      </c>
    </row>
    <row r="33" spans="1:18" ht="14.95" thickBot="1" x14ac:dyDescent="0.3">
      <c r="H33" s="143" t="s">
        <v>32</v>
      </c>
      <c r="I33" s="87">
        <v>22</v>
      </c>
      <c r="J33" s="87">
        <v>0</v>
      </c>
      <c r="K33" s="87">
        <v>10</v>
      </c>
      <c r="L33" s="368">
        <v>0</v>
      </c>
      <c r="M33" s="368">
        <v>0</v>
      </c>
      <c r="N33" s="311">
        <v>0</v>
      </c>
      <c r="O33" s="88">
        <f t="shared" si="32"/>
        <v>10</v>
      </c>
      <c r="P33" s="316">
        <f t="shared" ref="P33" si="43">SUM(I33/O33)*10</f>
        <v>22</v>
      </c>
      <c r="Q33" s="317">
        <f t="shared" ref="Q33" si="44">SUM(J33/O33)*10</f>
        <v>0</v>
      </c>
    </row>
    <row r="34" spans="1:18" ht="14.95" thickBot="1" x14ac:dyDescent="0.3">
      <c r="H34" s="234" t="s">
        <v>99</v>
      </c>
      <c r="I34" s="87">
        <v>7</v>
      </c>
      <c r="J34" s="87">
        <v>24</v>
      </c>
      <c r="K34" s="87">
        <v>37</v>
      </c>
      <c r="L34" s="368">
        <v>0</v>
      </c>
      <c r="M34" s="368">
        <v>0</v>
      </c>
      <c r="N34" s="311">
        <v>0</v>
      </c>
      <c r="O34" s="88">
        <f t="shared" si="32"/>
        <v>37</v>
      </c>
      <c r="P34" s="316">
        <f t="shared" ref="P34" si="45">SUM(I34/O34)*10</f>
        <v>1.8918918918918921</v>
      </c>
      <c r="Q34" s="317">
        <f t="shared" ref="Q34" si="46">SUM(J34/O34)*10</f>
        <v>6.4864864864864868</v>
      </c>
    </row>
    <row r="35" spans="1:18" ht="14.95" thickBot="1" x14ac:dyDescent="0.3">
      <c r="H35" s="295" t="s">
        <v>72</v>
      </c>
      <c r="I35" s="87">
        <v>7</v>
      </c>
      <c r="J35" s="87">
        <v>0</v>
      </c>
      <c r="K35" s="87">
        <v>4</v>
      </c>
      <c r="L35" s="368">
        <v>0</v>
      </c>
      <c r="M35" s="368">
        <v>0</v>
      </c>
      <c r="N35" s="311">
        <v>0</v>
      </c>
      <c r="O35" s="88">
        <f t="shared" si="32"/>
        <v>4</v>
      </c>
      <c r="P35" s="316">
        <f t="shared" ref="P35:P36" si="47">SUM(I35/O35)*10</f>
        <v>17.5</v>
      </c>
      <c r="Q35" s="317">
        <f t="shared" ref="Q35:Q36" si="48">SUM(J35/O35)*10</f>
        <v>0</v>
      </c>
    </row>
    <row r="36" spans="1:18" ht="14.95" thickBot="1" x14ac:dyDescent="0.3">
      <c r="H36" s="143" t="s">
        <v>98</v>
      </c>
      <c r="I36" s="87">
        <v>0</v>
      </c>
      <c r="J36" s="87">
        <v>0</v>
      </c>
      <c r="K36" s="87">
        <v>10</v>
      </c>
      <c r="L36" s="368">
        <v>0</v>
      </c>
      <c r="M36" s="368">
        <v>0</v>
      </c>
      <c r="N36" s="311">
        <v>0</v>
      </c>
      <c r="O36" s="88">
        <f t="shared" si="32"/>
        <v>10</v>
      </c>
      <c r="P36" s="316">
        <f t="shared" si="47"/>
        <v>0</v>
      </c>
      <c r="Q36" s="317">
        <f t="shared" si="48"/>
        <v>0</v>
      </c>
    </row>
    <row r="37" spans="1:18" ht="14.95" thickBot="1" x14ac:dyDescent="0.3">
      <c r="H37" s="34" t="s">
        <v>34</v>
      </c>
      <c r="I37" s="87">
        <v>17</v>
      </c>
      <c r="J37" s="87">
        <v>5</v>
      </c>
      <c r="K37" s="87">
        <v>43</v>
      </c>
      <c r="L37" s="368">
        <v>1</v>
      </c>
      <c r="M37" s="368">
        <v>0</v>
      </c>
      <c r="N37" s="311">
        <v>0</v>
      </c>
      <c r="O37" s="88">
        <f t="shared" si="32"/>
        <v>44</v>
      </c>
      <c r="P37" s="316">
        <f t="shared" ref="P37" si="49">SUM(I37/O37)*10</f>
        <v>3.8636363636363633</v>
      </c>
      <c r="Q37" s="317">
        <f t="shared" ref="Q37" si="50">SUM(J37/O37)*10</f>
        <v>1.1363636363636362</v>
      </c>
    </row>
    <row r="38" spans="1:18" ht="14.95" thickBot="1" x14ac:dyDescent="0.3">
      <c r="H38" s="278" t="s">
        <v>307</v>
      </c>
      <c r="I38" s="87">
        <v>0</v>
      </c>
      <c r="J38" s="87">
        <v>0</v>
      </c>
      <c r="K38" s="87">
        <v>0</v>
      </c>
      <c r="L38" s="368">
        <v>0</v>
      </c>
      <c r="M38" s="368">
        <v>0</v>
      </c>
      <c r="N38" s="311">
        <v>0</v>
      </c>
      <c r="O38" s="88">
        <f t="shared" ref="O38" si="51">SUM(K38:N38)</f>
        <v>0</v>
      </c>
      <c r="P38" s="316" t="s">
        <v>100</v>
      </c>
      <c r="Q38" s="317" t="s">
        <v>100</v>
      </c>
      <c r="R38" s="73" t="s">
        <v>101</v>
      </c>
    </row>
    <row r="39" spans="1:18" ht="14.95" thickBot="1" x14ac:dyDescent="0.3">
      <c r="H39" s="393" t="s">
        <v>133</v>
      </c>
      <c r="I39" s="87">
        <v>0</v>
      </c>
      <c r="J39" s="87">
        <v>0</v>
      </c>
      <c r="K39" s="87">
        <v>0</v>
      </c>
      <c r="L39" s="368">
        <v>0</v>
      </c>
      <c r="M39" s="368">
        <v>0</v>
      </c>
      <c r="N39" s="311">
        <v>0</v>
      </c>
      <c r="O39" s="88">
        <f t="shared" si="32"/>
        <v>0</v>
      </c>
      <c r="P39" s="316" t="s">
        <v>100</v>
      </c>
      <c r="Q39" s="317" t="s">
        <v>100</v>
      </c>
      <c r="R39" s="73" t="s">
        <v>101</v>
      </c>
    </row>
    <row r="40" spans="1:18" ht="14.95" thickBot="1" x14ac:dyDescent="0.3">
      <c r="H40" s="143" t="s">
        <v>55</v>
      </c>
      <c r="I40" s="87">
        <v>0</v>
      </c>
      <c r="J40" s="87">
        <v>0</v>
      </c>
      <c r="K40" s="87">
        <v>0</v>
      </c>
      <c r="L40" s="368">
        <v>0</v>
      </c>
      <c r="M40" s="368">
        <v>0</v>
      </c>
      <c r="N40" s="311">
        <v>0</v>
      </c>
      <c r="O40" s="88">
        <f t="shared" si="32"/>
        <v>0</v>
      </c>
      <c r="P40" s="316" t="s">
        <v>100</v>
      </c>
      <c r="Q40" s="317" t="s">
        <v>100</v>
      </c>
      <c r="R40" s="73" t="s">
        <v>101</v>
      </c>
    </row>
    <row r="41" spans="1:18" ht="14.95" thickBot="1" x14ac:dyDescent="0.3">
      <c r="H41" s="8" t="s">
        <v>31</v>
      </c>
      <c r="I41" s="87">
        <v>0</v>
      </c>
      <c r="J41" s="87">
        <v>0</v>
      </c>
      <c r="K41" s="366">
        <v>10</v>
      </c>
      <c r="L41" s="369">
        <v>0</v>
      </c>
      <c r="M41" s="369">
        <v>0</v>
      </c>
      <c r="N41" s="311">
        <v>0</v>
      </c>
      <c r="O41" s="88">
        <f t="shared" si="32"/>
        <v>10</v>
      </c>
      <c r="P41" s="316">
        <f t="shared" ref="P41" si="52">SUM(I41/O41)*10</f>
        <v>0</v>
      </c>
      <c r="Q41" s="317">
        <f t="shared" ref="Q41" si="53">SUM(J41/O41)*10</f>
        <v>0</v>
      </c>
    </row>
    <row r="42" spans="1:18" ht="14.95" thickBot="1" x14ac:dyDescent="0.3">
      <c r="H42" s="94" t="s">
        <v>52</v>
      </c>
      <c r="I42" s="89">
        <f>SUM(I26:I41)</f>
        <v>212</v>
      </c>
      <c r="J42" s="90">
        <f>SUM(J26:J41)</f>
        <v>55</v>
      </c>
      <c r="K42" s="89">
        <f>SUM(K26:K41)</f>
        <v>289</v>
      </c>
      <c r="L42" s="91">
        <f>SUM(L26:L39)</f>
        <v>1</v>
      </c>
      <c r="M42" s="91">
        <f>SUM(M26:M39)</f>
        <v>0</v>
      </c>
      <c r="N42" s="91">
        <f>SUM(N26:N39)</f>
        <v>0</v>
      </c>
      <c r="O42" s="90">
        <f>SUM(O26:O39)</f>
        <v>280</v>
      </c>
      <c r="P42" s="304">
        <f t="shared" ref="P42" si="54">SUM(I42/O42)*10</f>
        <v>7.5714285714285712</v>
      </c>
      <c r="Q42" s="305">
        <f t="shared" ref="Q42" si="55">SUM(J42/O42)*10</f>
        <v>1.9642857142857142</v>
      </c>
      <c r="R42" t="s">
        <v>53</v>
      </c>
    </row>
    <row r="43" spans="1:18" x14ac:dyDescent="0.25">
      <c r="A43" s="135"/>
      <c r="H43" t="s">
        <v>53</v>
      </c>
    </row>
    <row r="44" spans="1:18" x14ac:dyDescent="0.25">
      <c r="H44" s="73" t="s">
        <v>708</v>
      </c>
      <c r="I44" s="73"/>
      <c r="J44" s="73"/>
      <c r="K44" s="73"/>
      <c r="M44" s="73" t="s">
        <v>87</v>
      </c>
      <c r="O44" s="73"/>
      <c r="P44" s="73"/>
      <c r="Q44" s="73"/>
    </row>
    <row r="45" spans="1:18" x14ac:dyDescent="0.25">
      <c r="H45" t="s">
        <v>678</v>
      </c>
      <c r="I45" s="73"/>
      <c r="J45" s="73"/>
      <c r="K45" s="73"/>
      <c r="M45" t="s">
        <v>749</v>
      </c>
      <c r="O45" s="73"/>
      <c r="P45" s="73"/>
      <c r="Q45" s="73"/>
    </row>
    <row r="46" spans="1:18" x14ac:dyDescent="0.25">
      <c r="H46" t="s">
        <v>801</v>
      </c>
      <c r="I46" s="73"/>
      <c r="J46" s="73"/>
      <c r="K46" s="73"/>
    </row>
    <row r="47" spans="1:18" x14ac:dyDescent="0.25">
      <c r="H47" t="s">
        <v>800</v>
      </c>
      <c r="I47" s="73"/>
      <c r="J47" s="73"/>
      <c r="K47" s="73"/>
    </row>
    <row r="48" spans="1:18" x14ac:dyDescent="0.25">
      <c r="H48" t="s">
        <v>785</v>
      </c>
      <c r="J48" s="73"/>
      <c r="K48" s="73"/>
      <c r="L48" s="73"/>
    </row>
    <row r="49" spans="8:12" x14ac:dyDescent="0.25">
      <c r="H49" t="s">
        <v>820</v>
      </c>
      <c r="J49" s="73"/>
      <c r="K49" s="73"/>
      <c r="L49" s="73"/>
    </row>
    <row r="50" spans="8:12" x14ac:dyDescent="0.25">
      <c r="H50" s="73" t="s">
        <v>747</v>
      </c>
    </row>
    <row r="51" spans="8:12" x14ac:dyDescent="0.25">
      <c r="H51" t="s">
        <v>686</v>
      </c>
    </row>
    <row r="52" spans="8:12" x14ac:dyDescent="0.25">
      <c r="H52" t="s">
        <v>685</v>
      </c>
    </row>
    <row r="53" spans="8:12" x14ac:dyDescent="0.25">
      <c r="H53" t="s">
        <v>687</v>
      </c>
    </row>
    <row r="54" spans="8:12" x14ac:dyDescent="0.25">
      <c r="H54" t="s">
        <v>705</v>
      </c>
    </row>
    <row r="55" spans="8:12" x14ac:dyDescent="0.25">
      <c r="H55" t="s">
        <v>748</v>
      </c>
    </row>
    <row r="56" spans="8:12" x14ac:dyDescent="0.25">
      <c r="H56" t="s">
        <v>775</v>
      </c>
    </row>
    <row r="57" spans="8:12" x14ac:dyDescent="0.25">
      <c r="H57" t="s">
        <v>786</v>
      </c>
    </row>
    <row r="58" spans="8:12" x14ac:dyDescent="0.25">
      <c r="H58" t="s">
        <v>818</v>
      </c>
    </row>
    <row r="59" spans="8:12" x14ac:dyDescent="0.25">
      <c r="H59" t="s">
        <v>819</v>
      </c>
    </row>
  </sheetData>
  <sortState xmlns:xlrd2="http://schemas.microsoft.com/office/spreadsheetml/2017/richdata2" ref="A3:F18">
    <sortCondition ref="F3:F18"/>
    <sortCondition ref="D3:D18"/>
    <sortCondition ref="B3:B18"/>
    <sortCondition ref="A3:A18"/>
  </sortState>
  <mergeCells count="11">
    <mergeCell ref="P2:Q2"/>
    <mergeCell ref="P24:Q24"/>
    <mergeCell ref="B2:C2"/>
    <mergeCell ref="D2:E2"/>
    <mergeCell ref="H2:H3"/>
    <mergeCell ref="I2:J2"/>
    <mergeCell ref="K2:O2"/>
    <mergeCell ref="A22:D22"/>
    <mergeCell ref="H24:H25"/>
    <mergeCell ref="I24:J24"/>
    <mergeCell ref="K24:O24"/>
  </mergeCells>
  <pageMargins left="0.7" right="0.7" top="0.75" bottom="0.75" header="0.3" footer="0.3"/>
  <ignoredErrors>
    <ignoredError sqref="L20:O20 L42:N42 O26:O41 O4:O19" formulaRange="1"/>
    <ignoredError sqref="P20:Q20" evalError="1"/>
  </ignoredError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3D3E2-5623-4590-83BC-7F75786EB9F2}">
  <dimension ref="A1:AV28"/>
  <sheetViews>
    <sheetView workbookViewId="0">
      <selection activeCell="X18" sqref="X18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125" customWidth="1"/>
    <col min="5" max="13" width="3.75" customWidth="1"/>
    <col min="14" max="14" width="4" customWidth="1"/>
    <col min="15" max="18" width="3.75" customWidth="1"/>
    <col min="19" max="19" width="6.625" customWidth="1"/>
    <col min="20" max="20" width="6.25" customWidth="1"/>
    <col min="21" max="21" width="23.625" bestFit="1" customWidth="1"/>
    <col min="22" max="22" width="17.75" bestFit="1" customWidth="1"/>
    <col min="23" max="23" width="21.875" bestFit="1" customWidth="1"/>
    <col min="24" max="24" width="21" bestFit="1" customWidth="1"/>
    <col min="25" max="25" width="18.875" bestFit="1" customWidth="1"/>
    <col min="26" max="41" width="3.75" customWidth="1"/>
    <col min="47" max="47" width="9.875" bestFit="1" customWidth="1"/>
  </cols>
  <sheetData>
    <row r="1" spans="1:48" ht="14.95" customHeight="1" thickBot="1" x14ac:dyDescent="0.3">
      <c r="A1" s="719" t="s">
        <v>342</v>
      </c>
      <c r="B1" s="720"/>
      <c r="C1" s="720"/>
      <c r="D1" s="501"/>
      <c r="E1" s="721" t="s">
        <v>24</v>
      </c>
      <c r="F1" s="722"/>
      <c r="G1" s="723"/>
      <c r="H1" s="721" t="s">
        <v>74</v>
      </c>
      <c r="I1" s="723"/>
      <c r="J1" s="724" t="s">
        <v>6</v>
      </c>
      <c r="K1" s="725"/>
      <c r="L1" s="725"/>
      <c r="M1" s="726"/>
      <c r="N1" s="724" t="s">
        <v>7</v>
      </c>
      <c r="O1" s="726"/>
      <c r="P1" s="724" t="s">
        <v>25</v>
      </c>
      <c r="Q1" s="725"/>
      <c r="R1" s="726"/>
      <c r="S1" s="548" t="s">
        <v>8</v>
      </c>
      <c r="T1" s="502" t="s">
        <v>9</v>
      </c>
      <c r="U1" s="503" t="s">
        <v>10</v>
      </c>
      <c r="V1" s="503" t="s">
        <v>11</v>
      </c>
      <c r="W1" s="503" t="s">
        <v>109</v>
      </c>
      <c r="X1" s="503" t="s">
        <v>26</v>
      </c>
      <c r="Y1" s="503" t="s">
        <v>27</v>
      </c>
      <c r="Z1" s="713" t="s">
        <v>20</v>
      </c>
      <c r="AA1" s="714"/>
      <c r="AB1" s="714"/>
      <c r="AC1" s="715"/>
      <c r="AD1" s="713" t="s">
        <v>56</v>
      </c>
      <c r="AE1" s="714"/>
      <c r="AF1" s="714"/>
      <c r="AG1" s="715"/>
      <c r="AH1" s="713" t="s">
        <v>57</v>
      </c>
      <c r="AI1" s="714"/>
      <c r="AJ1" s="714"/>
      <c r="AK1" s="715"/>
      <c r="AL1" s="713" t="s">
        <v>58</v>
      </c>
      <c r="AM1" s="714"/>
      <c r="AN1" s="714"/>
      <c r="AO1" s="715"/>
      <c r="AU1" s="73" t="s">
        <v>508</v>
      </c>
    </row>
    <row r="2" spans="1:48" ht="14.95" customHeight="1" thickBot="1" x14ac:dyDescent="0.3">
      <c r="A2" s="504" t="s">
        <v>19</v>
      </c>
      <c r="B2" s="505" t="s">
        <v>18</v>
      </c>
      <c r="C2" s="506" t="s">
        <v>17</v>
      </c>
      <c r="D2" s="506" t="s">
        <v>37</v>
      </c>
      <c r="E2" s="507" t="s">
        <v>16</v>
      </c>
      <c r="F2" s="507" t="s">
        <v>4</v>
      </c>
      <c r="G2" s="507" t="s">
        <v>5</v>
      </c>
      <c r="H2" s="508" t="s">
        <v>12</v>
      </c>
      <c r="I2" s="508" t="s">
        <v>3</v>
      </c>
      <c r="J2" s="508" t="s">
        <v>12</v>
      </c>
      <c r="K2" s="508" t="s">
        <v>13</v>
      </c>
      <c r="L2" s="508" t="s">
        <v>2</v>
      </c>
      <c r="M2" s="508" t="s">
        <v>14</v>
      </c>
      <c r="N2" s="508" t="s">
        <v>15</v>
      </c>
      <c r="O2" s="508" t="s">
        <v>16</v>
      </c>
      <c r="P2" s="508" t="s">
        <v>21</v>
      </c>
      <c r="Q2" s="508" t="s">
        <v>22</v>
      </c>
      <c r="R2" s="508" t="s">
        <v>12</v>
      </c>
      <c r="S2" s="507"/>
      <c r="T2" s="509"/>
      <c r="U2" s="510"/>
      <c r="V2" s="511"/>
      <c r="W2" s="511"/>
      <c r="X2" s="503"/>
      <c r="Y2" s="512"/>
      <c r="Z2" s="513" t="s">
        <v>0</v>
      </c>
      <c r="AA2" s="513" t="s">
        <v>1</v>
      </c>
      <c r="AB2" s="513" t="s">
        <v>2</v>
      </c>
      <c r="AC2" s="513" t="s">
        <v>3</v>
      </c>
      <c r="AD2" s="513" t="s">
        <v>0</v>
      </c>
      <c r="AE2" s="513" t="s">
        <v>1</v>
      </c>
      <c r="AF2" s="513" t="s">
        <v>2</v>
      </c>
      <c r="AG2" s="513" t="s">
        <v>3</v>
      </c>
      <c r="AH2" s="513" t="s">
        <v>0</v>
      </c>
      <c r="AI2" s="513" t="s">
        <v>1</v>
      </c>
      <c r="AJ2" s="513" t="s">
        <v>2</v>
      </c>
      <c r="AK2" s="513" t="s">
        <v>3</v>
      </c>
      <c r="AL2" s="513" t="s">
        <v>0</v>
      </c>
      <c r="AM2" s="513" t="s">
        <v>1</v>
      </c>
      <c r="AN2" s="513" t="s">
        <v>2</v>
      </c>
      <c r="AO2" s="513" t="s">
        <v>3</v>
      </c>
      <c r="AU2" s="515" t="s">
        <v>503</v>
      </c>
      <c r="AV2" s="516">
        <v>37</v>
      </c>
    </row>
    <row r="3" spans="1:48" ht="14.95" customHeight="1" thickBot="1" x14ac:dyDescent="0.35">
      <c r="A3" s="155" t="s">
        <v>337</v>
      </c>
      <c r="B3" s="157" t="s">
        <v>344</v>
      </c>
      <c r="C3" s="157" t="s">
        <v>166</v>
      </c>
      <c r="D3" s="157" t="s">
        <v>165</v>
      </c>
      <c r="E3" s="158" t="s">
        <v>1</v>
      </c>
      <c r="F3" s="158">
        <v>43</v>
      </c>
      <c r="G3" s="158">
        <v>7</v>
      </c>
      <c r="H3" s="375" t="s">
        <v>69</v>
      </c>
      <c r="I3" s="375" t="s">
        <v>69</v>
      </c>
      <c r="J3" s="375">
        <v>7</v>
      </c>
      <c r="K3" s="375">
        <v>4</v>
      </c>
      <c r="L3" s="375">
        <v>0</v>
      </c>
      <c r="M3" s="375">
        <v>0</v>
      </c>
      <c r="N3" s="375">
        <v>1</v>
      </c>
      <c r="O3" s="375">
        <v>0</v>
      </c>
      <c r="P3" s="375" t="s">
        <v>69</v>
      </c>
      <c r="Q3" s="375" t="s">
        <v>69</v>
      </c>
      <c r="R3" s="375">
        <v>1</v>
      </c>
      <c r="S3" s="632"/>
      <c r="T3" s="163" t="s">
        <v>341</v>
      </c>
      <c r="U3" s="164" t="s">
        <v>145</v>
      </c>
      <c r="V3" s="162" t="s">
        <v>160</v>
      </c>
      <c r="W3" s="162" t="s">
        <v>100</v>
      </c>
      <c r="X3" s="159" t="s">
        <v>339</v>
      </c>
      <c r="Y3" s="379" t="s">
        <v>340</v>
      </c>
      <c r="Z3" s="160">
        <v>1</v>
      </c>
      <c r="AA3" s="160">
        <v>1</v>
      </c>
      <c r="AB3" s="160">
        <v>0</v>
      </c>
      <c r="AC3" s="161">
        <v>0</v>
      </c>
      <c r="AD3" s="160">
        <v>0</v>
      </c>
      <c r="AE3" s="160">
        <v>0</v>
      </c>
      <c r="AF3" s="160">
        <v>0</v>
      </c>
      <c r="AG3" s="161">
        <v>0</v>
      </c>
      <c r="AH3" s="160">
        <v>1</v>
      </c>
      <c r="AI3" s="160">
        <v>1</v>
      </c>
      <c r="AJ3" s="160">
        <v>0</v>
      </c>
      <c r="AK3" s="161">
        <v>0</v>
      </c>
      <c r="AL3" s="160">
        <v>0</v>
      </c>
      <c r="AM3" s="160">
        <v>0</v>
      </c>
      <c r="AN3" s="160">
        <v>0</v>
      </c>
      <c r="AO3" s="161">
        <v>0</v>
      </c>
      <c r="AU3" s="517" t="s">
        <v>504</v>
      </c>
      <c r="AV3" s="518">
        <v>19</v>
      </c>
    </row>
    <row r="4" spans="1:48" ht="14.95" customHeight="1" thickBot="1" x14ac:dyDescent="0.3">
      <c r="A4" s="170" t="s">
        <v>359</v>
      </c>
      <c r="B4" s="171" t="s">
        <v>153</v>
      </c>
      <c r="C4" s="171" t="s">
        <v>72</v>
      </c>
      <c r="D4" s="171" t="s">
        <v>360</v>
      </c>
      <c r="E4" s="172" t="s">
        <v>3</v>
      </c>
      <c r="F4" s="172">
        <v>12</v>
      </c>
      <c r="G4" s="172">
        <v>38</v>
      </c>
      <c r="H4" s="374">
        <v>0</v>
      </c>
      <c r="I4" s="374">
        <v>0</v>
      </c>
      <c r="J4" s="374">
        <v>2</v>
      </c>
      <c r="K4" s="374">
        <v>1</v>
      </c>
      <c r="L4" s="374">
        <v>0</v>
      </c>
      <c r="M4" s="374">
        <v>0</v>
      </c>
      <c r="N4" s="374">
        <v>0</v>
      </c>
      <c r="O4" s="374">
        <v>0</v>
      </c>
      <c r="P4" s="374">
        <v>1</v>
      </c>
      <c r="Q4" s="374">
        <v>0</v>
      </c>
      <c r="R4" s="374">
        <v>6</v>
      </c>
      <c r="S4" s="633"/>
      <c r="T4" s="174" t="s">
        <v>362</v>
      </c>
      <c r="U4" s="175" t="s">
        <v>363</v>
      </c>
      <c r="V4" s="173" t="s">
        <v>115</v>
      </c>
      <c r="W4" s="175" t="s">
        <v>364</v>
      </c>
      <c r="X4" s="175" t="s">
        <v>144</v>
      </c>
      <c r="Y4" s="380" t="s">
        <v>163</v>
      </c>
      <c r="Z4" s="178">
        <v>1</v>
      </c>
      <c r="AA4" s="178">
        <v>0</v>
      </c>
      <c r="AB4" s="178">
        <v>0</v>
      </c>
      <c r="AC4" s="179">
        <v>1</v>
      </c>
      <c r="AD4" s="178">
        <v>1</v>
      </c>
      <c r="AE4" s="178">
        <v>0</v>
      </c>
      <c r="AF4" s="178">
        <v>0</v>
      </c>
      <c r="AG4" s="179">
        <v>1</v>
      </c>
      <c r="AH4" s="178">
        <v>0</v>
      </c>
      <c r="AI4" s="178">
        <v>0</v>
      </c>
      <c r="AJ4" s="178">
        <v>0</v>
      </c>
      <c r="AK4" s="179">
        <v>0</v>
      </c>
      <c r="AL4" s="178">
        <v>0</v>
      </c>
      <c r="AM4" s="178">
        <v>0</v>
      </c>
      <c r="AN4" s="178">
        <v>0</v>
      </c>
      <c r="AO4" s="179">
        <v>0</v>
      </c>
      <c r="AU4" s="517" t="s">
        <v>505</v>
      </c>
      <c r="AV4" s="518">
        <v>1</v>
      </c>
    </row>
    <row r="5" spans="1:48" ht="14.95" customHeight="1" thickBot="1" x14ac:dyDescent="0.35">
      <c r="A5" s="170" t="s">
        <v>376</v>
      </c>
      <c r="B5" s="171" t="s">
        <v>153</v>
      </c>
      <c r="C5" s="171" t="s">
        <v>55</v>
      </c>
      <c r="D5" s="171" t="s">
        <v>386</v>
      </c>
      <c r="E5" s="172" t="s">
        <v>1</v>
      </c>
      <c r="F5" s="172">
        <v>27</v>
      </c>
      <c r="G5" s="172">
        <v>19</v>
      </c>
      <c r="H5" s="374">
        <v>1</v>
      </c>
      <c r="I5" s="374">
        <v>0</v>
      </c>
      <c r="J5" s="374">
        <v>4</v>
      </c>
      <c r="K5" s="374">
        <v>2</v>
      </c>
      <c r="L5" s="374">
        <v>0</v>
      </c>
      <c r="M5" s="374">
        <v>1</v>
      </c>
      <c r="N5" s="374">
        <v>0</v>
      </c>
      <c r="O5" s="374">
        <v>0</v>
      </c>
      <c r="P5" s="374">
        <v>0</v>
      </c>
      <c r="Q5" s="374">
        <v>0</v>
      </c>
      <c r="R5" s="374">
        <v>3</v>
      </c>
      <c r="S5" s="633"/>
      <c r="T5" s="181" t="s">
        <v>387</v>
      </c>
      <c r="U5" s="175" t="s">
        <v>146</v>
      </c>
      <c r="V5" s="173" t="s">
        <v>160</v>
      </c>
      <c r="W5" s="175" t="s">
        <v>141</v>
      </c>
      <c r="X5" s="175" t="s">
        <v>144</v>
      </c>
      <c r="Y5" s="175" t="s">
        <v>145</v>
      </c>
      <c r="Z5" s="178">
        <v>1</v>
      </c>
      <c r="AA5" s="178">
        <v>1</v>
      </c>
      <c r="AB5" s="178">
        <v>0</v>
      </c>
      <c r="AC5" s="179">
        <v>0</v>
      </c>
      <c r="AD5" s="178">
        <v>1</v>
      </c>
      <c r="AE5" s="178">
        <v>1</v>
      </c>
      <c r="AF5" s="178">
        <v>0</v>
      </c>
      <c r="AG5" s="179">
        <v>0</v>
      </c>
      <c r="AH5" s="178">
        <v>0</v>
      </c>
      <c r="AI5" s="178">
        <v>0</v>
      </c>
      <c r="AJ5" s="178">
        <v>0</v>
      </c>
      <c r="AK5" s="179">
        <v>0</v>
      </c>
      <c r="AL5" s="178">
        <v>0</v>
      </c>
      <c r="AM5" s="178">
        <v>0</v>
      </c>
      <c r="AN5" s="178">
        <v>0</v>
      </c>
      <c r="AO5" s="179">
        <v>0</v>
      </c>
      <c r="AU5" s="517" t="s">
        <v>506</v>
      </c>
      <c r="AV5" s="518">
        <v>17</v>
      </c>
    </row>
    <row r="6" spans="1:48" ht="14.95" customHeight="1" thickBot="1" x14ac:dyDescent="0.3">
      <c r="A6" s="170" t="s">
        <v>397</v>
      </c>
      <c r="B6" s="171" t="s">
        <v>153</v>
      </c>
      <c r="C6" s="171" t="s">
        <v>36</v>
      </c>
      <c r="D6" s="171" t="s">
        <v>227</v>
      </c>
      <c r="E6" s="172" t="s">
        <v>3</v>
      </c>
      <c r="F6" s="172">
        <v>7</v>
      </c>
      <c r="G6" s="172">
        <v>45</v>
      </c>
      <c r="H6" s="374">
        <v>0</v>
      </c>
      <c r="I6" s="374">
        <v>0</v>
      </c>
      <c r="J6" s="374">
        <v>1</v>
      </c>
      <c r="K6" s="374">
        <v>1</v>
      </c>
      <c r="L6" s="374">
        <v>0</v>
      </c>
      <c r="M6" s="374">
        <v>0</v>
      </c>
      <c r="N6" s="374">
        <v>0</v>
      </c>
      <c r="O6" s="374">
        <v>0</v>
      </c>
      <c r="P6" s="374">
        <v>1</v>
      </c>
      <c r="Q6" s="374">
        <v>0</v>
      </c>
      <c r="R6" s="374">
        <v>7</v>
      </c>
      <c r="S6" s="633"/>
      <c r="T6" s="174" t="s">
        <v>398</v>
      </c>
      <c r="U6" s="175" t="s">
        <v>144</v>
      </c>
      <c r="V6" s="173" t="s">
        <v>160</v>
      </c>
      <c r="W6" s="173" t="s">
        <v>158</v>
      </c>
      <c r="X6" s="175" t="s">
        <v>145</v>
      </c>
      <c r="Y6" s="380" t="s">
        <v>399</v>
      </c>
      <c r="Z6" s="178">
        <v>1</v>
      </c>
      <c r="AA6" s="178">
        <v>0</v>
      </c>
      <c r="AB6" s="178">
        <v>0</v>
      </c>
      <c r="AC6" s="179">
        <v>1</v>
      </c>
      <c r="AD6" s="178">
        <v>1</v>
      </c>
      <c r="AE6" s="178">
        <v>0</v>
      </c>
      <c r="AF6" s="178">
        <v>0</v>
      </c>
      <c r="AG6" s="179">
        <v>1</v>
      </c>
      <c r="AH6" s="178">
        <v>0</v>
      </c>
      <c r="AI6" s="178">
        <v>0</v>
      </c>
      <c r="AJ6" s="178">
        <v>0</v>
      </c>
      <c r="AK6" s="179">
        <v>0</v>
      </c>
      <c r="AL6" s="178">
        <v>0</v>
      </c>
      <c r="AM6" s="178">
        <v>0</v>
      </c>
      <c r="AN6" s="178">
        <v>0</v>
      </c>
      <c r="AO6" s="179">
        <v>0</v>
      </c>
      <c r="AU6" s="517" t="s">
        <v>507</v>
      </c>
      <c r="AV6" s="518">
        <v>756</v>
      </c>
    </row>
    <row r="7" spans="1:48" ht="14.95" customHeight="1" thickBot="1" x14ac:dyDescent="0.3">
      <c r="A7" s="155" t="s">
        <v>483</v>
      </c>
      <c r="B7" s="157" t="s">
        <v>484</v>
      </c>
      <c r="C7" s="157" t="s">
        <v>72</v>
      </c>
      <c r="D7" s="157" t="s">
        <v>485</v>
      </c>
      <c r="E7" s="158" t="s">
        <v>3</v>
      </c>
      <c r="F7" s="158">
        <v>12</v>
      </c>
      <c r="G7" s="158">
        <v>37</v>
      </c>
      <c r="H7" s="375" t="s">
        <v>69</v>
      </c>
      <c r="I7" s="375" t="s">
        <v>69</v>
      </c>
      <c r="J7" s="375">
        <v>2</v>
      </c>
      <c r="K7" s="375">
        <v>1</v>
      </c>
      <c r="L7" s="375">
        <v>0</v>
      </c>
      <c r="M7" s="375">
        <v>0</v>
      </c>
      <c r="N7" s="375">
        <v>0</v>
      </c>
      <c r="O7" s="375">
        <v>0</v>
      </c>
      <c r="P7" s="375" t="s">
        <v>69</v>
      </c>
      <c r="Q7" s="375" t="s">
        <v>69</v>
      </c>
      <c r="R7" s="375">
        <v>7</v>
      </c>
      <c r="S7" s="632"/>
      <c r="T7" s="166" t="s">
        <v>254</v>
      </c>
      <c r="U7" s="164" t="s">
        <v>252</v>
      </c>
      <c r="V7" s="162" t="s">
        <v>141</v>
      </c>
      <c r="W7" s="162" t="s">
        <v>382</v>
      </c>
      <c r="X7" s="164" t="s">
        <v>145</v>
      </c>
      <c r="Y7" s="379" t="s">
        <v>163</v>
      </c>
      <c r="Z7" s="160">
        <v>1</v>
      </c>
      <c r="AA7" s="160">
        <v>0</v>
      </c>
      <c r="AB7" s="160">
        <v>0</v>
      </c>
      <c r="AC7" s="161">
        <v>1</v>
      </c>
      <c r="AD7" s="160">
        <v>0</v>
      </c>
      <c r="AE7" s="160">
        <v>0</v>
      </c>
      <c r="AF7" s="160">
        <v>0</v>
      </c>
      <c r="AG7" s="161">
        <v>0</v>
      </c>
      <c r="AH7" s="160">
        <v>1</v>
      </c>
      <c r="AI7" s="160">
        <v>0</v>
      </c>
      <c r="AJ7" s="160">
        <v>0</v>
      </c>
      <c r="AK7" s="161">
        <v>1</v>
      </c>
      <c r="AL7" s="160">
        <v>0</v>
      </c>
      <c r="AM7" s="160">
        <v>0</v>
      </c>
      <c r="AN7" s="160">
        <v>0</v>
      </c>
      <c r="AO7" s="161">
        <v>0</v>
      </c>
    </row>
    <row r="8" spans="1:48" ht="14.95" customHeight="1" thickBot="1" x14ac:dyDescent="0.3">
      <c r="A8" s="170" t="s">
        <v>526</v>
      </c>
      <c r="B8" s="171" t="s">
        <v>161</v>
      </c>
      <c r="C8" s="171" t="s">
        <v>31</v>
      </c>
      <c r="D8" s="171" t="s">
        <v>527</v>
      </c>
      <c r="E8" s="172" t="s">
        <v>3</v>
      </c>
      <c r="F8" s="172">
        <v>12</v>
      </c>
      <c r="G8" s="172">
        <v>21</v>
      </c>
      <c r="H8" s="374" t="s">
        <v>69</v>
      </c>
      <c r="I8" s="374" t="s">
        <v>69</v>
      </c>
      <c r="J8" s="374">
        <v>2</v>
      </c>
      <c r="K8" s="374">
        <v>1</v>
      </c>
      <c r="L8" s="374">
        <v>0</v>
      </c>
      <c r="M8" s="374">
        <v>0</v>
      </c>
      <c r="N8" s="374">
        <v>0</v>
      </c>
      <c r="O8" s="374">
        <v>0</v>
      </c>
      <c r="P8" s="374" t="s">
        <v>69</v>
      </c>
      <c r="Q8" s="374" t="s">
        <v>69</v>
      </c>
      <c r="R8" s="374">
        <v>3</v>
      </c>
      <c r="S8" s="633"/>
      <c r="T8" s="174" t="s">
        <v>528</v>
      </c>
      <c r="U8" s="175" t="s">
        <v>144</v>
      </c>
      <c r="V8" s="173" t="s">
        <v>141</v>
      </c>
      <c r="W8" s="173" t="s">
        <v>158</v>
      </c>
      <c r="X8" s="173" t="s">
        <v>145</v>
      </c>
      <c r="Y8" s="380" t="s">
        <v>163</v>
      </c>
      <c r="Z8" s="178">
        <v>1</v>
      </c>
      <c r="AA8" s="178">
        <v>0</v>
      </c>
      <c r="AB8" s="178">
        <v>0</v>
      </c>
      <c r="AC8" s="179">
        <v>1</v>
      </c>
      <c r="AD8" s="178">
        <v>1</v>
      </c>
      <c r="AE8" s="178">
        <v>0</v>
      </c>
      <c r="AF8" s="178">
        <v>0</v>
      </c>
      <c r="AG8" s="179">
        <v>1</v>
      </c>
      <c r="AH8" s="178">
        <v>0</v>
      </c>
      <c r="AI8" s="178">
        <v>0</v>
      </c>
      <c r="AJ8" s="178">
        <v>0</v>
      </c>
      <c r="AK8" s="179">
        <v>0</v>
      </c>
      <c r="AL8" s="178">
        <v>0</v>
      </c>
      <c r="AM8" s="178">
        <v>0</v>
      </c>
      <c r="AN8" s="178">
        <v>0</v>
      </c>
      <c r="AO8" s="179">
        <v>0</v>
      </c>
    </row>
    <row r="9" spans="1:48" ht="14.95" customHeight="1" thickBot="1" x14ac:dyDescent="0.3">
      <c r="A9" s="170" t="s">
        <v>229</v>
      </c>
      <c r="B9" s="171" t="s">
        <v>161</v>
      </c>
      <c r="C9" s="171" t="s">
        <v>31</v>
      </c>
      <c r="D9" s="171" t="s">
        <v>230</v>
      </c>
      <c r="E9" s="172" t="s">
        <v>1</v>
      </c>
      <c r="F9" s="172">
        <v>36</v>
      </c>
      <c r="G9" s="172">
        <v>5</v>
      </c>
      <c r="H9" s="374" t="s">
        <v>69</v>
      </c>
      <c r="I9" s="374" t="s">
        <v>69</v>
      </c>
      <c r="J9" s="374">
        <v>6</v>
      </c>
      <c r="K9" s="374">
        <v>3</v>
      </c>
      <c r="L9" s="374">
        <v>0</v>
      </c>
      <c r="M9" s="374">
        <v>0</v>
      </c>
      <c r="N9" s="374">
        <v>0</v>
      </c>
      <c r="O9" s="374">
        <v>0</v>
      </c>
      <c r="P9" s="374" t="s">
        <v>69</v>
      </c>
      <c r="Q9" s="374" t="s">
        <v>69</v>
      </c>
      <c r="R9" s="374">
        <v>1</v>
      </c>
      <c r="S9" s="633">
        <v>4561</v>
      </c>
      <c r="T9" s="446" t="s">
        <v>536</v>
      </c>
      <c r="U9" s="175" t="s">
        <v>145</v>
      </c>
      <c r="V9" s="173" t="s">
        <v>141</v>
      </c>
      <c r="W9" s="173" t="s">
        <v>158</v>
      </c>
      <c r="X9" s="173" t="s">
        <v>144</v>
      </c>
      <c r="Y9" s="380" t="s">
        <v>163</v>
      </c>
      <c r="Z9" s="178">
        <v>1</v>
      </c>
      <c r="AA9" s="178">
        <v>1</v>
      </c>
      <c r="AB9" s="178">
        <v>0</v>
      </c>
      <c r="AC9" s="179">
        <v>0</v>
      </c>
      <c r="AD9" s="178">
        <v>1</v>
      </c>
      <c r="AE9" s="178">
        <v>1</v>
      </c>
      <c r="AF9" s="178">
        <v>0</v>
      </c>
      <c r="AG9" s="179">
        <v>0</v>
      </c>
      <c r="AH9" s="178">
        <v>0</v>
      </c>
      <c r="AI9" s="178">
        <v>0</v>
      </c>
      <c r="AJ9" s="178">
        <v>0</v>
      </c>
      <c r="AK9" s="179">
        <v>0</v>
      </c>
      <c r="AL9" s="178">
        <v>0</v>
      </c>
      <c r="AM9" s="178">
        <v>0</v>
      </c>
      <c r="AN9" s="178">
        <v>0</v>
      </c>
      <c r="AO9" s="179">
        <v>0</v>
      </c>
    </row>
    <row r="10" spans="1:48" ht="14.95" customHeight="1" thickBot="1" x14ac:dyDescent="0.35">
      <c r="A10" s="201" t="s">
        <v>240</v>
      </c>
      <c r="B10" s="202" t="s">
        <v>231</v>
      </c>
      <c r="C10" s="202" t="s">
        <v>98</v>
      </c>
      <c r="D10" s="202" t="s">
        <v>246</v>
      </c>
      <c r="E10" s="134" t="s">
        <v>1</v>
      </c>
      <c r="F10" s="134">
        <v>73</v>
      </c>
      <c r="G10" s="134">
        <v>0</v>
      </c>
      <c r="H10" s="391">
        <v>1</v>
      </c>
      <c r="I10" s="391">
        <v>0</v>
      </c>
      <c r="J10" s="391">
        <v>11</v>
      </c>
      <c r="K10" s="373">
        <v>9</v>
      </c>
      <c r="L10" s="391">
        <v>0</v>
      </c>
      <c r="M10" s="391">
        <v>0</v>
      </c>
      <c r="N10" s="391">
        <v>0</v>
      </c>
      <c r="O10" s="391">
        <v>0</v>
      </c>
      <c r="P10" s="391">
        <v>0</v>
      </c>
      <c r="Q10" s="391">
        <v>0</v>
      </c>
      <c r="R10" s="391">
        <v>0</v>
      </c>
      <c r="S10" s="391">
        <v>10054</v>
      </c>
      <c r="T10" s="363" t="s">
        <v>663</v>
      </c>
      <c r="U10" s="186" t="s">
        <v>272</v>
      </c>
      <c r="V10" s="186" t="s">
        <v>136</v>
      </c>
      <c r="W10" s="186" t="s">
        <v>139</v>
      </c>
      <c r="X10" s="186" t="s">
        <v>128</v>
      </c>
      <c r="Y10" s="186" t="s">
        <v>154</v>
      </c>
      <c r="Z10" s="133">
        <v>1</v>
      </c>
      <c r="AA10" s="133">
        <v>1</v>
      </c>
      <c r="AB10" s="133">
        <v>0</v>
      </c>
      <c r="AC10" s="185">
        <v>0</v>
      </c>
      <c r="AD10" s="133">
        <v>0</v>
      </c>
      <c r="AE10" s="133">
        <v>0</v>
      </c>
      <c r="AF10" s="133">
        <v>0</v>
      </c>
      <c r="AG10" s="185">
        <v>0</v>
      </c>
      <c r="AH10" s="133">
        <v>0</v>
      </c>
      <c r="AI10" s="133">
        <v>0</v>
      </c>
      <c r="AJ10" s="133">
        <v>0</v>
      </c>
      <c r="AK10" s="185">
        <v>0</v>
      </c>
      <c r="AL10" s="133">
        <v>1</v>
      </c>
      <c r="AM10" s="133">
        <v>1</v>
      </c>
      <c r="AN10" s="133">
        <v>0</v>
      </c>
      <c r="AO10" s="185">
        <v>0</v>
      </c>
    </row>
    <row r="11" spans="1:48" ht="14.95" customHeight="1" thickBot="1" x14ac:dyDescent="0.35">
      <c r="A11" s="201" t="s">
        <v>234</v>
      </c>
      <c r="B11" s="202" t="s">
        <v>231</v>
      </c>
      <c r="C11" s="202" t="s">
        <v>55</v>
      </c>
      <c r="D11" s="202" t="s">
        <v>206</v>
      </c>
      <c r="E11" s="134" t="s">
        <v>2</v>
      </c>
      <c r="F11" s="134">
        <v>31</v>
      </c>
      <c r="G11" s="134">
        <v>31</v>
      </c>
      <c r="H11" s="391">
        <v>1</v>
      </c>
      <c r="I11" s="391">
        <v>0</v>
      </c>
      <c r="J11" s="391">
        <v>5</v>
      </c>
      <c r="K11" s="391">
        <v>3</v>
      </c>
      <c r="L11" s="373">
        <v>0</v>
      </c>
      <c r="M11" s="373">
        <v>0</v>
      </c>
      <c r="N11" s="373">
        <v>0</v>
      </c>
      <c r="O11" s="373">
        <v>0</v>
      </c>
      <c r="P11" s="373">
        <v>1</v>
      </c>
      <c r="Q11" s="373">
        <v>0</v>
      </c>
      <c r="R11" s="373">
        <v>5</v>
      </c>
      <c r="S11" s="391">
        <v>7628</v>
      </c>
      <c r="T11" s="376" t="s">
        <v>720</v>
      </c>
      <c r="U11" s="189" t="s">
        <v>116</v>
      </c>
      <c r="V11" s="189" t="s">
        <v>139</v>
      </c>
      <c r="W11" s="189" t="s">
        <v>110</v>
      </c>
      <c r="X11" s="189" t="s">
        <v>128</v>
      </c>
      <c r="Y11" s="191" t="s">
        <v>131</v>
      </c>
      <c r="Z11" s="133">
        <v>1</v>
      </c>
      <c r="AA11" s="133">
        <v>0</v>
      </c>
      <c r="AB11" s="133">
        <v>1</v>
      </c>
      <c r="AC11" s="185">
        <v>0</v>
      </c>
      <c r="AD11" s="133">
        <v>0</v>
      </c>
      <c r="AE11" s="133">
        <v>0</v>
      </c>
      <c r="AF11" s="133">
        <v>0</v>
      </c>
      <c r="AG11" s="185">
        <v>0</v>
      </c>
      <c r="AH11" s="133">
        <v>0</v>
      </c>
      <c r="AI11" s="133">
        <v>0</v>
      </c>
      <c r="AJ11" s="133">
        <v>0</v>
      </c>
      <c r="AK11" s="185">
        <v>0</v>
      </c>
      <c r="AL11" s="133">
        <v>1</v>
      </c>
      <c r="AM11" s="133">
        <v>0</v>
      </c>
      <c r="AN11" s="133">
        <v>1</v>
      </c>
      <c r="AO11" s="185">
        <v>0</v>
      </c>
    </row>
    <row r="12" spans="1:48" ht="14.95" customHeight="1" thickBot="1" x14ac:dyDescent="0.3">
      <c r="A12" s="312" t="s">
        <v>172</v>
      </c>
      <c r="B12" s="167" t="s">
        <v>231</v>
      </c>
      <c r="C12" s="167" t="s">
        <v>30</v>
      </c>
      <c r="D12" s="167" t="s">
        <v>238</v>
      </c>
      <c r="E12" s="158" t="s">
        <v>3</v>
      </c>
      <c r="F12" s="158">
        <v>7</v>
      </c>
      <c r="G12" s="158">
        <v>47</v>
      </c>
      <c r="H12" s="375">
        <v>0</v>
      </c>
      <c r="I12" s="375">
        <v>0</v>
      </c>
      <c r="J12" s="375">
        <v>1</v>
      </c>
      <c r="K12" s="375">
        <v>1</v>
      </c>
      <c r="L12" s="375">
        <v>0</v>
      </c>
      <c r="M12" s="375">
        <v>0</v>
      </c>
      <c r="N12" s="375">
        <v>1</v>
      </c>
      <c r="O12" s="375">
        <v>0</v>
      </c>
      <c r="P12" s="375">
        <v>1</v>
      </c>
      <c r="Q12" s="375">
        <v>0</v>
      </c>
      <c r="R12" s="375">
        <v>7</v>
      </c>
      <c r="S12" s="375">
        <v>30433</v>
      </c>
      <c r="T12" s="168" t="s">
        <v>783</v>
      </c>
      <c r="U12" s="159" t="s">
        <v>119</v>
      </c>
      <c r="V12" s="159" t="s">
        <v>111</v>
      </c>
      <c r="W12" s="159" t="s">
        <v>136</v>
      </c>
      <c r="X12" s="159" t="s">
        <v>128</v>
      </c>
      <c r="Y12" s="523" t="s">
        <v>782</v>
      </c>
      <c r="Z12" s="160">
        <v>1</v>
      </c>
      <c r="AA12" s="160">
        <v>0</v>
      </c>
      <c r="AB12" s="160">
        <v>0</v>
      </c>
      <c r="AC12" s="161">
        <v>1</v>
      </c>
      <c r="AD12" s="160">
        <v>0</v>
      </c>
      <c r="AE12" s="160">
        <v>0</v>
      </c>
      <c r="AF12" s="160">
        <v>0</v>
      </c>
      <c r="AG12" s="161">
        <v>0</v>
      </c>
      <c r="AH12" s="160">
        <v>1</v>
      </c>
      <c r="AI12" s="160">
        <v>0</v>
      </c>
      <c r="AJ12" s="160">
        <v>0</v>
      </c>
      <c r="AK12" s="161">
        <v>1</v>
      </c>
      <c r="AL12" s="160">
        <v>0</v>
      </c>
      <c r="AM12" s="160">
        <v>0</v>
      </c>
      <c r="AN12" s="160">
        <v>0</v>
      </c>
      <c r="AO12" s="161">
        <v>0</v>
      </c>
    </row>
    <row r="13" spans="1:48" ht="14.95" thickBot="1" x14ac:dyDescent="0.3">
      <c r="A13" s="201" t="s">
        <v>597</v>
      </c>
      <c r="B13" s="202" t="s">
        <v>700</v>
      </c>
      <c r="C13" s="202" t="s">
        <v>36</v>
      </c>
      <c r="D13" s="202" t="s">
        <v>713</v>
      </c>
      <c r="E13" s="134" t="s">
        <v>3</v>
      </c>
      <c r="F13" s="184">
        <v>5</v>
      </c>
      <c r="G13" s="184">
        <v>46</v>
      </c>
      <c r="H13" s="373" t="s">
        <v>69</v>
      </c>
      <c r="I13" s="373" t="s">
        <v>69</v>
      </c>
      <c r="J13" s="373">
        <v>1</v>
      </c>
      <c r="K13" s="373">
        <v>0</v>
      </c>
      <c r="L13" s="373">
        <v>0</v>
      </c>
      <c r="M13" s="373">
        <v>0</v>
      </c>
      <c r="N13" s="373">
        <v>0</v>
      </c>
      <c r="O13" s="373">
        <v>0</v>
      </c>
      <c r="P13" s="373" t="s">
        <v>69</v>
      </c>
      <c r="Q13" s="373" t="s">
        <v>69</v>
      </c>
      <c r="R13" s="373">
        <v>7</v>
      </c>
      <c r="S13" s="652">
        <v>16571</v>
      </c>
      <c r="T13" s="204" t="s">
        <v>314</v>
      </c>
      <c r="U13" s="186" t="s">
        <v>247</v>
      </c>
      <c r="V13" s="186" t="s">
        <v>115</v>
      </c>
      <c r="W13" s="186" t="s">
        <v>139</v>
      </c>
      <c r="X13" s="186" t="s">
        <v>272</v>
      </c>
      <c r="Y13" s="341" t="s">
        <v>117</v>
      </c>
      <c r="Z13" s="133">
        <v>1</v>
      </c>
      <c r="AA13" s="133">
        <v>0</v>
      </c>
      <c r="AB13" s="133">
        <v>0</v>
      </c>
      <c r="AC13" s="185">
        <v>1</v>
      </c>
      <c r="AD13" s="133">
        <v>0</v>
      </c>
      <c r="AE13" s="133">
        <v>0</v>
      </c>
      <c r="AF13" s="133">
        <v>0</v>
      </c>
      <c r="AG13" s="185">
        <v>0</v>
      </c>
      <c r="AH13" s="133">
        <v>0</v>
      </c>
      <c r="AI13" s="133">
        <v>0</v>
      </c>
      <c r="AJ13" s="133">
        <v>0</v>
      </c>
      <c r="AK13" s="185">
        <v>0</v>
      </c>
      <c r="AL13" s="133">
        <v>1</v>
      </c>
      <c r="AM13" s="133">
        <v>0</v>
      </c>
      <c r="AN13" s="133">
        <v>0</v>
      </c>
      <c r="AO13" s="185">
        <v>1</v>
      </c>
    </row>
    <row r="14" spans="1:48" ht="14.95" thickBot="1" x14ac:dyDescent="0.3">
      <c r="A14" s="104"/>
      <c r="B14" s="105"/>
      <c r="C14" s="716" t="s">
        <v>92</v>
      </c>
      <c r="D14" s="717"/>
      <c r="E14" s="718"/>
      <c r="F14" s="450">
        <f>SUM(F4:F6)</f>
        <v>46</v>
      </c>
      <c r="G14" s="450">
        <f t="shared" ref="G14:R14" si="0">SUM(G4:G6)</f>
        <v>102</v>
      </c>
      <c r="H14" s="450">
        <f t="shared" si="0"/>
        <v>1</v>
      </c>
      <c r="I14" s="450">
        <f t="shared" si="0"/>
        <v>0</v>
      </c>
      <c r="J14" s="450">
        <f t="shared" si="0"/>
        <v>7</v>
      </c>
      <c r="K14" s="450">
        <f t="shared" si="0"/>
        <v>4</v>
      </c>
      <c r="L14" s="450">
        <f t="shared" si="0"/>
        <v>0</v>
      </c>
      <c r="M14" s="450">
        <f t="shared" si="0"/>
        <v>1</v>
      </c>
      <c r="N14" s="450">
        <f t="shared" si="0"/>
        <v>0</v>
      </c>
      <c r="O14" s="450">
        <f t="shared" si="0"/>
        <v>0</v>
      </c>
      <c r="P14" s="450">
        <f t="shared" si="0"/>
        <v>2</v>
      </c>
      <c r="Q14" s="450">
        <f t="shared" si="0"/>
        <v>0</v>
      </c>
      <c r="R14" s="450">
        <f t="shared" si="0"/>
        <v>16</v>
      </c>
      <c r="S14" s="663"/>
      <c r="T14" s="447"/>
      <c r="U14" s="447"/>
      <c r="V14" s="447"/>
      <c r="W14" s="447"/>
      <c r="X14" s="448"/>
      <c r="Y14" s="449" t="s">
        <v>92</v>
      </c>
      <c r="Z14" s="450">
        <f t="shared" ref="Z14:AO14" si="1">SUM(Z4:Z6)</f>
        <v>3</v>
      </c>
      <c r="AA14" s="450">
        <f t="shared" si="1"/>
        <v>1</v>
      </c>
      <c r="AB14" s="450">
        <f t="shared" si="1"/>
        <v>0</v>
      </c>
      <c r="AC14" s="450">
        <f t="shared" si="1"/>
        <v>2</v>
      </c>
      <c r="AD14" s="452">
        <f t="shared" si="1"/>
        <v>3</v>
      </c>
      <c r="AE14" s="452">
        <f t="shared" si="1"/>
        <v>1</v>
      </c>
      <c r="AF14" s="452">
        <f t="shared" si="1"/>
        <v>0</v>
      </c>
      <c r="AG14" s="452">
        <f t="shared" si="1"/>
        <v>2</v>
      </c>
      <c r="AH14" s="453">
        <f t="shared" si="1"/>
        <v>0</v>
      </c>
      <c r="AI14" s="453">
        <f t="shared" si="1"/>
        <v>0</v>
      </c>
      <c r="AJ14" s="453">
        <f t="shared" si="1"/>
        <v>0</v>
      </c>
      <c r="AK14" s="453">
        <f t="shared" si="1"/>
        <v>0</v>
      </c>
      <c r="AL14" s="450">
        <f t="shared" si="1"/>
        <v>0</v>
      </c>
      <c r="AM14" s="450">
        <f t="shared" si="1"/>
        <v>0</v>
      </c>
      <c r="AN14" s="450">
        <f t="shared" si="1"/>
        <v>0</v>
      </c>
      <c r="AO14" s="450">
        <f t="shared" si="1"/>
        <v>0</v>
      </c>
    </row>
    <row r="15" spans="1:48" ht="14.95" thickBot="1" x14ac:dyDescent="0.3">
      <c r="A15" s="104"/>
      <c r="B15" s="105"/>
      <c r="C15" s="731" t="s">
        <v>237</v>
      </c>
      <c r="D15" s="732"/>
      <c r="E15" s="733"/>
      <c r="F15" s="457">
        <f>SUM(F10:F13)</f>
        <v>116</v>
      </c>
      <c r="G15" s="457">
        <f t="shared" ref="G15:R15" si="2">SUM(G10:G13)</f>
        <v>124</v>
      </c>
      <c r="H15" s="457">
        <f t="shared" si="2"/>
        <v>2</v>
      </c>
      <c r="I15" s="457">
        <f t="shared" si="2"/>
        <v>0</v>
      </c>
      <c r="J15" s="457">
        <f t="shared" si="2"/>
        <v>18</v>
      </c>
      <c r="K15" s="457">
        <f t="shared" si="2"/>
        <v>13</v>
      </c>
      <c r="L15" s="457">
        <f t="shared" si="2"/>
        <v>0</v>
      </c>
      <c r="M15" s="457">
        <f t="shared" si="2"/>
        <v>0</v>
      </c>
      <c r="N15" s="457">
        <f t="shared" si="2"/>
        <v>1</v>
      </c>
      <c r="O15" s="457">
        <f t="shared" si="2"/>
        <v>0</v>
      </c>
      <c r="P15" s="457">
        <f t="shared" si="2"/>
        <v>2</v>
      </c>
      <c r="Q15" s="457">
        <f t="shared" si="2"/>
        <v>0</v>
      </c>
      <c r="R15" s="457">
        <f t="shared" si="2"/>
        <v>19</v>
      </c>
      <c r="S15" s="664"/>
      <c r="T15" s="458"/>
      <c r="U15" s="458"/>
      <c r="V15" s="458"/>
      <c r="W15" s="458"/>
      <c r="X15" s="459"/>
      <c r="Y15" s="460" t="s">
        <v>237</v>
      </c>
      <c r="Z15" s="457">
        <f t="shared" ref="Z15:AO15" si="3">SUM(Z10:Z13)</f>
        <v>4</v>
      </c>
      <c r="AA15" s="457">
        <f t="shared" si="3"/>
        <v>1</v>
      </c>
      <c r="AB15" s="457">
        <f t="shared" si="3"/>
        <v>1</v>
      </c>
      <c r="AC15" s="457">
        <f t="shared" si="3"/>
        <v>2</v>
      </c>
      <c r="AD15" s="461">
        <f t="shared" si="3"/>
        <v>0</v>
      </c>
      <c r="AE15" s="461">
        <f t="shared" si="3"/>
        <v>0</v>
      </c>
      <c r="AF15" s="461">
        <f t="shared" si="3"/>
        <v>0</v>
      </c>
      <c r="AG15" s="461">
        <f t="shared" si="3"/>
        <v>0</v>
      </c>
      <c r="AH15" s="462">
        <f t="shared" si="3"/>
        <v>1</v>
      </c>
      <c r="AI15" s="462">
        <f t="shared" si="3"/>
        <v>0</v>
      </c>
      <c r="AJ15" s="462">
        <f t="shared" si="3"/>
        <v>0</v>
      </c>
      <c r="AK15" s="462">
        <f t="shared" si="3"/>
        <v>1</v>
      </c>
      <c r="AL15" s="457">
        <f t="shared" si="3"/>
        <v>3</v>
      </c>
      <c r="AM15" s="457">
        <f t="shared" si="3"/>
        <v>1</v>
      </c>
      <c r="AN15" s="457">
        <f t="shared" si="3"/>
        <v>1</v>
      </c>
      <c r="AO15" s="457">
        <f t="shared" si="3"/>
        <v>1</v>
      </c>
    </row>
    <row r="16" spans="1:48" ht="14.95" thickBot="1" x14ac:dyDescent="0.3">
      <c r="A16" s="104"/>
      <c r="B16" s="105"/>
      <c r="C16" s="728" t="s">
        <v>70</v>
      </c>
      <c r="D16" s="729"/>
      <c r="E16" s="730"/>
      <c r="F16" s="128">
        <f>SUM(F3:F13)</f>
        <v>265</v>
      </c>
      <c r="G16" s="128">
        <f t="shared" ref="G16:R16" si="4">SUM(G3:G13)</f>
        <v>296</v>
      </c>
      <c r="H16" s="128">
        <f t="shared" si="4"/>
        <v>3</v>
      </c>
      <c r="I16" s="128">
        <f t="shared" si="4"/>
        <v>0</v>
      </c>
      <c r="J16" s="128">
        <f t="shared" si="4"/>
        <v>42</v>
      </c>
      <c r="K16" s="128">
        <f t="shared" si="4"/>
        <v>26</v>
      </c>
      <c r="L16" s="128">
        <f t="shared" si="4"/>
        <v>0</v>
      </c>
      <c r="M16" s="128">
        <f t="shared" si="4"/>
        <v>1</v>
      </c>
      <c r="N16" s="128">
        <f t="shared" si="4"/>
        <v>2</v>
      </c>
      <c r="O16" s="128">
        <f t="shared" si="4"/>
        <v>0</v>
      </c>
      <c r="P16" s="128">
        <f t="shared" si="4"/>
        <v>4</v>
      </c>
      <c r="Q16" s="128">
        <f t="shared" si="4"/>
        <v>0</v>
      </c>
      <c r="R16" s="128">
        <f t="shared" si="4"/>
        <v>47</v>
      </c>
      <c r="S16" s="665"/>
      <c r="T16" s="197"/>
      <c r="U16" s="197"/>
      <c r="V16" s="197"/>
      <c r="W16" s="197"/>
      <c r="X16" s="12"/>
      <c r="Y16" s="133" t="s">
        <v>70</v>
      </c>
      <c r="Z16" s="128">
        <f t="shared" ref="Z16:AO16" si="5">SUM(Z3:Z13)</f>
        <v>11</v>
      </c>
      <c r="AA16" s="128">
        <f t="shared" si="5"/>
        <v>4</v>
      </c>
      <c r="AB16" s="128">
        <f t="shared" si="5"/>
        <v>1</v>
      </c>
      <c r="AC16" s="128">
        <f t="shared" si="5"/>
        <v>6</v>
      </c>
      <c r="AD16" s="126">
        <f t="shared" si="5"/>
        <v>5</v>
      </c>
      <c r="AE16" s="126">
        <f t="shared" si="5"/>
        <v>2</v>
      </c>
      <c r="AF16" s="126">
        <f t="shared" si="5"/>
        <v>0</v>
      </c>
      <c r="AG16" s="126">
        <f t="shared" si="5"/>
        <v>3</v>
      </c>
      <c r="AH16" s="127">
        <f t="shared" si="5"/>
        <v>3</v>
      </c>
      <c r="AI16" s="127">
        <f t="shared" si="5"/>
        <v>1</v>
      </c>
      <c r="AJ16" s="127">
        <f t="shared" si="5"/>
        <v>0</v>
      </c>
      <c r="AK16" s="127">
        <f t="shared" si="5"/>
        <v>2</v>
      </c>
      <c r="AL16" s="128">
        <f t="shared" si="5"/>
        <v>3</v>
      </c>
      <c r="AM16" s="128">
        <f t="shared" si="5"/>
        <v>1</v>
      </c>
      <c r="AN16" s="128">
        <f t="shared" si="5"/>
        <v>1</v>
      </c>
      <c r="AO16" s="128">
        <f t="shared" si="5"/>
        <v>1</v>
      </c>
    </row>
    <row r="17" spans="1:41" x14ac:dyDescent="0.25">
      <c r="A17" s="727"/>
      <c r="B17" s="687"/>
      <c r="C17" s="687"/>
      <c r="D17" s="687"/>
      <c r="E17" s="687"/>
      <c r="F17" s="687"/>
      <c r="G17" s="687"/>
      <c r="H17" s="687"/>
      <c r="I17" s="687"/>
      <c r="J17" s="687"/>
      <c r="K17" s="687"/>
      <c r="L17" s="687"/>
      <c r="M17" s="687"/>
      <c r="N17" s="687"/>
      <c r="O17" s="687"/>
      <c r="P17" s="687"/>
      <c r="Q17" s="687"/>
      <c r="R17" s="687"/>
      <c r="S17" s="687"/>
      <c r="T17" s="687"/>
      <c r="U17" s="687"/>
      <c r="V17" s="687"/>
      <c r="W17" s="687"/>
      <c r="X17" s="687"/>
      <c r="Y17" s="687"/>
      <c r="Z17" s="687"/>
      <c r="AA17" s="687"/>
      <c r="AB17" s="687"/>
      <c r="AC17" s="687"/>
      <c r="AD17" s="687"/>
      <c r="AE17" s="687"/>
      <c r="AF17" s="687"/>
      <c r="AG17" s="687"/>
      <c r="AH17" s="687"/>
      <c r="AI17" s="687"/>
      <c r="AJ17" s="687"/>
      <c r="AK17" s="687"/>
      <c r="AL17" s="687"/>
      <c r="AM17" s="687"/>
      <c r="AN17" s="687"/>
      <c r="AO17" s="687"/>
    </row>
    <row r="18" spans="1:41" x14ac:dyDescent="0.25">
      <c r="A18" s="410" t="s">
        <v>361</v>
      </c>
    </row>
    <row r="19" spans="1:41" x14ac:dyDescent="0.25">
      <c r="A19" t="s">
        <v>487</v>
      </c>
    </row>
    <row r="20" spans="1:41" x14ac:dyDescent="0.25">
      <c r="A20" t="s">
        <v>539</v>
      </c>
    </row>
    <row r="21" spans="1:41" x14ac:dyDescent="0.25">
      <c r="A21" s="654" t="s">
        <v>768</v>
      </c>
    </row>
    <row r="22" spans="1:41" x14ac:dyDescent="0.25">
      <c r="A22" s="727" t="s">
        <v>757</v>
      </c>
      <c r="B22" s="687"/>
      <c r="C22" s="687"/>
      <c r="D22" s="687"/>
      <c r="E22" s="687"/>
      <c r="F22" s="687"/>
      <c r="G22" s="687"/>
      <c r="H22" s="687"/>
      <c r="I22" s="687"/>
      <c r="J22" s="687"/>
      <c r="K22" s="687"/>
      <c r="L22" s="687"/>
      <c r="M22" s="687"/>
      <c r="N22" s="687"/>
      <c r="O22" s="687"/>
      <c r="P22" s="687"/>
      <c r="Q22" s="687"/>
      <c r="R22" s="687"/>
      <c r="S22" s="687"/>
      <c r="T22" s="687"/>
      <c r="U22" s="687"/>
      <c r="V22" s="687"/>
      <c r="W22" s="687"/>
      <c r="X22" s="687"/>
      <c r="Y22" s="687"/>
      <c r="Z22" s="687"/>
      <c r="AA22" s="687"/>
      <c r="AB22" s="687"/>
      <c r="AC22" s="687"/>
      <c r="AD22" s="687"/>
      <c r="AE22" s="687"/>
      <c r="AF22" s="687"/>
      <c r="AG22" s="687"/>
      <c r="AH22" s="687"/>
      <c r="AI22" s="687"/>
      <c r="AJ22" s="687"/>
      <c r="AK22" s="687"/>
      <c r="AL22" s="687"/>
      <c r="AM22" s="687"/>
      <c r="AN22" s="687"/>
      <c r="AO22" s="687"/>
    </row>
    <row r="23" spans="1:41" x14ac:dyDescent="0.25">
      <c r="A23" s="727" t="s">
        <v>769</v>
      </c>
      <c r="B23" s="687"/>
      <c r="C23" s="687"/>
      <c r="D23" s="687"/>
      <c r="E23" s="687"/>
      <c r="F23" s="687"/>
      <c r="G23" s="687"/>
      <c r="H23" s="687"/>
      <c r="I23" s="687"/>
      <c r="J23" s="687"/>
      <c r="K23" s="687"/>
      <c r="L23" s="687"/>
      <c r="M23" s="687"/>
      <c r="N23" s="687"/>
      <c r="O23" s="687"/>
      <c r="P23" s="687"/>
      <c r="Q23" s="687"/>
      <c r="R23" s="687"/>
      <c r="S23" s="687"/>
    </row>
    <row r="24" spans="1:41" x14ac:dyDescent="0.25">
      <c r="A24" t="s">
        <v>75</v>
      </c>
    </row>
    <row r="25" spans="1:41" x14ac:dyDescent="0.25">
      <c r="A25" s="313"/>
      <c r="B25" s="73" t="s">
        <v>40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</row>
    <row r="26" spans="1:41" x14ac:dyDescent="0.25">
      <c r="A26" s="314"/>
      <c r="B26" s="73" t="s">
        <v>38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</row>
    <row r="27" spans="1:41" x14ac:dyDescent="0.25">
      <c r="A27" s="315"/>
      <c r="B27" s="73" t="s">
        <v>39</v>
      </c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</row>
    <row r="28" spans="1:41" ht="16.3" x14ac:dyDescent="0.3">
      <c r="A28" s="681" t="s">
        <v>28</v>
      </c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</row>
  </sheetData>
  <mergeCells count="16">
    <mergeCell ref="A22:AO22"/>
    <mergeCell ref="A23:S23"/>
    <mergeCell ref="C16:E16"/>
    <mergeCell ref="A17:AO17"/>
    <mergeCell ref="C15:E15"/>
    <mergeCell ref="Z1:AC1"/>
    <mergeCell ref="AD1:AG1"/>
    <mergeCell ref="AH1:AK1"/>
    <mergeCell ref="AL1:AO1"/>
    <mergeCell ref="C14:E14"/>
    <mergeCell ref="A1:C1"/>
    <mergeCell ref="E1:G1"/>
    <mergeCell ref="H1:I1"/>
    <mergeCell ref="J1:M1"/>
    <mergeCell ref="N1:O1"/>
    <mergeCell ref="P1:R1"/>
  </mergeCells>
  <pageMargins left="0.7" right="0.7" top="0.75" bottom="0.75" header="0.3" footer="0.3"/>
  <pageSetup paperSize="9" orientation="portrait" r:id="rId1"/>
  <ignoredErrors>
    <ignoredError sqref="T14:AO14 F14:R14 T15:Y15 F15:S15 Z15:AO15" formulaRange="1"/>
    <ignoredError sqref="T8 T12:T13" twoDigitTextYear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CBD4D-CA3A-4FF2-B229-B36F1858B7E1}">
  <dimension ref="A1:AV23"/>
  <sheetViews>
    <sheetView workbookViewId="0">
      <selection activeCell="A23" sqref="A23"/>
    </sheetView>
  </sheetViews>
  <sheetFormatPr defaultRowHeight="14.3" x14ac:dyDescent="0.25"/>
  <cols>
    <col min="1" max="1" width="7.5" customWidth="1"/>
    <col min="2" max="2" width="5.5" customWidth="1"/>
    <col min="3" max="3" width="11.375" bestFit="1" customWidth="1"/>
    <col min="4" max="4" width="4.125" customWidth="1"/>
    <col min="5" max="13" width="3.75" customWidth="1"/>
    <col min="14" max="14" width="4" customWidth="1"/>
    <col min="15" max="18" width="3.75" customWidth="1"/>
    <col min="19" max="19" width="7.125" customWidth="1"/>
    <col min="20" max="20" width="6.25" customWidth="1"/>
    <col min="21" max="21" width="22.125" bestFit="1" customWidth="1"/>
    <col min="22" max="22" width="17.375" bestFit="1" customWidth="1"/>
    <col min="23" max="23" width="21.625" bestFit="1" customWidth="1"/>
    <col min="24" max="24" width="19.375" bestFit="1" customWidth="1"/>
    <col min="25" max="25" width="24.375" bestFit="1" customWidth="1"/>
    <col min="26" max="41" width="3.75" customWidth="1"/>
    <col min="47" max="47" width="9.875" bestFit="1" customWidth="1"/>
  </cols>
  <sheetData>
    <row r="1" spans="1:48" ht="14.95" customHeight="1" thickBot="1" x14ac:dyDescent="0.3">
      <c r="A1" s="737" t="s">
        <v>443</v>
      </c>
      <c r="B1" s="738"/>
      <c r="C1" s="738"/>
      <c r="D1" s="483"/>
      <c r="E1" s="739" t="s">
        <v>24</v>
      </c>
      <c r="F1" s="740"/>
      <c r="G1" s="741"/>
      <c r="H1" s="739" t="s">
        <v>74</v>
      </c>
      <c r="I1" s="741"/>
      <c r="J1" s="742" t="s">
        <v>6</v>
      </c>
      <c r="K1" s="743"/>
      <c r="L1" s="743"/>
      <c r="M1" s="744"/>
      <c r="N1" s="742" t="s">
        <v>7</v>
      </c>
      <c r="O1" s="744"/>
      <c r="P1" s="742" t="s">
        <v>25</v>
      </c>
      <c r="Q1" s="743"/>
      <c r="R1" s="744"/>
      <c r="S1" s="621" t="s">
        <v>8</v>
      </c>
      <c r="T1" s="484" t="s">
        <v>9</v>
      </c>
      <c r="U1" s="485" t="s">
        <v>10</v>
      </c>
      <c r="V1" s="485" t="s">
        <v>11</v>
      </c>
      <c r="W1" s="485" t="s">
        <v>109</v>
      </c>
      <c r="X1" s="485" t="s">
        <v>26</v>
      </c>
      <c r="Y1" s="485" t="s">
        <v>27</v>
      </c>
      <c r="Z1" s="734" t="s">
        <v>20</v>
      </c>
      <c r="AA1" s="735"/>
      <c r="AB1" s="735"/>
      <c r="AC1" s="736"/>
      <c r="AD1" s="734" t="s">
        <v>56</v>
      </c>
      <c r="AE1" s="735"/>
      <c r="AF1" s="735"/>
      <c r="AG1" s="736"/>
      <c r="AH1" s="734" t="s">
        <v>57</v>
      </c>
      <c r="AI1" s="735"/>
      <c r="AJ1" s="735"/>
      <c r="AK1" s="736"/>
      <c r="AL1" s="734" t="s">
        <v>58</v>
      </c>
      <c r="AM1" s="735"/>
      <c r="AN1" s="735"/>
      <c r="AO1" s="736"/>
    </row>
    <row r="2" spans="1:48" ht="14.95" customHeight="1" thickBot="1" x14ac:dyDescent="0.3">
      <c r="A2" s="486" t="s">
        <v>19</v>
      </c>
      <c r="B2" s="482" t="s">
        <v>18</v>
      </c>
      <c r="C2" s="487" t="s">
        <v>17</v>
      </c>
      <c r="D2" s="487" t="s">
        <v>37</v>
      </c>
      <c r="E2" s="488" t="s">
        <v>16</v>
      </c>
      <c r="F2" s="488" t="s">
        <v>4</v>
      </c>
      <c r="G2" s="488" t="s">
        <v>5</v>
      </c>
      <c r="H2" s="489" t="s">
        <v>12</v>
      </c>
      <c r="I2" s="489" t="s">
        <v>3</v>
      </c>
      <c r="J2" s="489" t="s">
        <v>12</v>
      </c>
      <c r="K2" s="489" t="s">
        <v>13</v>
      </c>
      <c r="L2" s="489" t="s">
        <v>2</v>
      </c>
      <c r="M2" s="489" t="s">
        <v>14</v>
      </c>
      <c r="N2" s="489" t="s">
        <v>15</v>
      </c>
      <c r="O2" s="489" t="s">
        <v>16</v>
      </c>
      <c r="P2" s="489" t="s">
        <v>21</v>
      </c>
      <c r="Q2" s="489" t="s">
        <v>22</v>
      </c>
      <c r="R2" s="489" t="s">
        <v>12</v>
      </c>
      <c r="S2" s="488"/>
      <c r="T2" s="490"/>
      <c r="U2" s="491"/>
      <c r="V2" s="492"/>
      <c r="W2" s="492"/>
      <c r="X2" s="485"/>
      <c r="Y2" s="493"/>
      <c r="Z2" s="494" t="s">
        <v>0</v>
      </c>
      <c r="AA2" s="494" t="s">
        <v>1</v>
      </c>
      <c r="AB2" s="494" t="s">
        <v>2</v>
      </c>
      <c r="AC2" s="494" t="s">
        <v>3</v>
      </c>
      <c r="AD2" s="494" t="s">
        <v>0</v>
      </c>
      <c r="AE2" s="494" t="s">
        <v>1</v>
      </c>
      <c r="AF2" s="494" t="s">
        <v>2</v>
      </c>
      <c r="AG2" s="494" t="s">
        <v>3</v>
      </c>
      <c r="AH2" s="494" t="s">
        <v>0</v>
      </c>
      <c r="AI2" s="494" t="s">
        <v>1</v>
      </c>
      <c r="AJ2" s="494" t="s">
        <v>2</v>
      </c>
      <c r="AK2" s="494" t="s">
        <v>3</v>
      </c>
      <c r="AL2" s="494" t="s">
        <v>0</v>
      </c>
      <c r="AM2" s="494" t="s">
        <v>1</v>
      </c>
      <c r="AN2" s="494" t="s">
        <v>2</v>
      </c>
      <c r="AO2" s="494" t="s">
        <v>3</v>
      </c>
      <c r="AU2" s="73" t="s">
        <v>508</v>
      </c>
    </row>
    <row r="3" spans="1:48" ht="14.95" customHeight="1" thickBot="1" x14ac:dyDescent="0.3">
      <c r="A3" s="155" t="s">
        <v>444</v>
      </c>
      <c r="B3" s="157" t="s">
        <v>161</v>
      </c>
      <c r="C3" s="157" t="s">
        <v>264</v>
      </c>
      <c r="D3" s="157" t="s">
        <v>554</v>
      </c>
      <c r="E3" s="158" t="s">
        <v>1</v>
      </c>
      <c r="F3" s="158">
        <v>19</v>
      </c>
      <c r="G3" s="158">
        <v>12</v>
      </c>
      <c r="H3" s="375" t="s">
        <v>69</v>
      </c>
      <c r="I3" s="375" t="s">
        <v>69</v>
      </c>
      <c r="J3" s="375">
        <v>3</v>
      </c>
      <c r="K3" s="375">
        <v>2</v>
      </c>
      <c r="L3" s="375">
        <v>0</v>
      </c>
      <c r="M3" s="375">
        <v>0</v>
      </c>
      <c r="N3" s="375">
        <v>1</v>
      </c>
      <c r="O3" s="375">
        <v>0</v>
      </c>
      <c r="P3" s="375" t="s">
        <v>69</v>
      </c>
      <c r="Q3" s="375" t="s">
        <v>69</v>
      </c>
      <c r="R3" s="375">
        <v>2</v>
      </c>
      <c r="S3" s="625"/>
      <c r="T3" s="530" t="s">
        <v>555</v>
      </c>
      <c r="U3" s="164" t="s">
        <v>117</v>
      </c>
      <c r="V3" s="162" t="s">
        <v>100</v>
      </c>
      <c r="W3" s="162" t="s">
        <v>100</v>
      </c>
      <c r="X3" s="159" t="s">
        <v>112</v>
      </c>
      <c r="Y3" s="379" t="s">
        <v>131</v>
      </c>
      <c r="Z3" s="159">
        <v>1</v>
      </c>
      <c r="AA3" s="159">
        <v>1</v>
      </c>
      <c r="AB3" s="159">
        <v>0</v>
      </c>
      <c r="AC3" s="523">
        <v>0</v>
      </c>
      <c r="AD3" s="159">
        <v>0</v>
      </c>
      <c r="AE3" s="159">
        <v>0</v>
      </c>
      <c r="AF3" s="159">
        <v>0</v>
      </c>
      <c r="AG3" s="523">
        <v>0</v>
      </c>
      <c r="AH3" s="159">
        <v>1</v>
      </c>
      <c r="AI3" s="159">
        <v>1</v>
      </c>
      <c r="AJ3" s="159">
        <v>0</v>
      </c>
      <c r="AK3" s="523">
        <v>0</v>
      </c>
      <c r="AL3" s="159">
        <v>0</v>
      </c>
      <c r="AM3" s="159">
        <v>0</v>
      </c>
      <c r="AN3" s="159">
        <v>0</v>
      </c>
      <c r="AO3" s="523">
        <v>0</v>
      </c>
      <c r="AU3" s="515" t="s">
        <v>503</v>
      </c>
      <c r="AV3" s="516">
        <v>3</v>
      </c>
    </row>
    <row r="4" spans="1:48" ht="14.95" customHeight="1" thickBot="1" x14ac:dyDescent="0.3">
      <c r="A4" s="155" t="s">
        <v>207</v>
      </c>
      <c r="B4" s="157" t="s">
        <v>161</v>
      </c>
      <c r="C4" s="157" t="s">
        <v>133</v>
      </c>
      <c r="D4" s="157" t="s">
        <v>556</v>
      </c>
      <c r="E4" s="158" t="s">
        <v>3</v>
      </c>
      <c r="F4" s="158">
        <v>12</v>
      </c>
      <c r="G4" s="158">
        <v>41</v>
      </c>
      <c r="H4" s="375" t="s">
        <v>69</v>
      </c>
      <c r="I4" s="375" t="s">
        <v>69</v>
      </c>
      <c r="J4" s="375">
        <v>2</v>
      </c>
      <c r="K4" s="375">
        <v>1</v>
      </c>
      <c r="L4" s="375">
        <v>0</v>
      </c>
      <c r="M4" s="375">
        <v>0</v>
      </c>
      <c r="N4" s="375">
        <v>0</v>
      </c>
      <c r="O4" s="375">
        <v>0</v>
      </c>
      <c r="P4" s="375" t="s">
        <v>69</v>
      </c>
      <c r="Q4" s="375" t="s">
        <v>69</v>
      </c>
      <c r="R4" s="375">
        <v>6</v>
      </c>
      <c r="S4" s="625"/>
      <c r="T4" s="166" t="s">
        <v>558</v>
      </c>
      <c r="U4" s="164" t="s">
        <v>159</v>
      </c>
      <c r="V4" s="162" t="s">
        <v>100</v>
      </c>
      <c r="W4" s="164" t="s">
        <v>100</v>
      </c>
      <c r="X4" s="164" t="s">
        <v>131</v>
      </c>
      <c r="Y4" s="379" t="s">
        <v>132</v>
      </c>
      <c r="Z4" s="159">
        <v>1</v>
      </c>
      <c r="AA4" s="159">
        <v>0</v>
      </c>
      <c r="AB4" s="159">
        <v>0</v>
      </c>
      <c r="AC4" s="523">
        <v>1</v>
      </c>
      <c r="AD4" s="159">
        <v>0</v>
      </c>
      <c r="AE4" s="159">
        <v>0</v>
      </c>
      <c r="AF4" s="159">
        <v>0</v>
      </c>
      <c r="AG4" s="523">
        <v>0</v>
      </c>
      <c r="AH4" s="159">
        <v>1</v>
      </c>
      <c r="AI4" s="159">
        <v>0</v>
      </c>
      <c r="AJ4" s="159">
        <v>0</v>
      </c>
      <c r="AK4" s="523">
        <v>1</v>
      </c>
      <c r="AL4" s="159">
        <v>0</v>
      </c>
      <c r="AM4" s="159">
        <v>0</v>
      </c>
      <c r="AN4" s="159">
        <v>0</v>
      </c>
      <c r="AO4" s="523">
        <v>0</v>
      </c>
      <c r="AU4" s="517" t="s">
        <v>504</v>
      </c>
      <c r="AV4" s="518">
        <v>0</v>
      </c>
    </row>
    <row r="5" spans="1:48" ht="14.95" customHeight="1" thickBot="1" x14ac:dyDescent="0.35">
      <c r="A5" s="170" t="s">
        <v>445</v>
      </c>
      <c r="B5" s="171" t="s">
        <v>161</v>
      </c>
      <c r="C5" s="171" t="s">
        <v>446</v>
      </c>
      <c r="D5" s="171" t="s">
        <v>447</v>
      </c>
      <c r="E5" s="172" t="s">
        <v>1</v>
      </c>
      <c r="F5" s="172">
        <v>58</v>
      </c>
      <c r="G5" s="172">
        <v>7</v>
      </c>
      <c r="H5" s="374" t="s">
        <v>69</v>
      </c>
      <c r="I5" s="374" t="s">
        <v>69</v>
      </c>
      <c r="J5" s="374">
        <v>10</v>
      </c>
      <c r="K5" s="374">
        <v>4</v>
      </c>
      <c r="L5" s="374">
        <v>0</v>
      </c>
      <c r="M5" s="374">
        <v>0</v>
      </c>
      <c r="N5" s="374">
        <v>0</v>
      </c>
      <c r="O5" s="374">
        <v>0</v>
      </c>
      <c r="P5" s="374" t="s">
        <v>69</v>
      </c>
      <c r="Q5" s="374" t="s">
        <v>69</v>
      </c>
      <c r="R5" s="374">
        <v>1</v>
      </c>
      <c r="S5" s="639"/>
      <c r="T5" s="181" t="s">
        <v>448</v>
      </c>
      <c r="U5" s="175" t="s">
        <v>449</v>
      </c>
      <c r="V5" s="173" t="s">
        <v>100</v>
      </c>
      <c r="W5" s="175" t="s">
        <v>100</v>
      </c>
      <c r="X5" s="175" t="s">
        <v>450</v>
      </c>
      <c r="Y5" s="175" t="s">
        <v>451</v>
      </c>
      <c r="Z5" s="176">
        <v>1</v>
      </c>
      <c r="AA5" s="176">
        <v>1</v>
      </c>
      <c r="AB5" s="176">
        <v>0</v>
      </c>
      <c r="AC5" s="342">
        <v>0</v>
      </c>
      <c r="AD5" s="176">
        <v>1</v>
      </c>
      <c r="AE5" s="176">
        <v>1</v>
      </c>
      <c r="AF5" s="176">
        <v>0</v>
      </c>
      <c r="AG5" s="342">
        <v>0</v>
      </c>
      <c r="AH5" s="176">
        <v>0</v>
      </c>
      <c r="AI5" s="176">
        <v>0</v>
      </c>
      <c r="AJ5" s="176">
        <v>0</v>
      </c>
      <c r="AK5" s="342">
        <v>0</v>
      </c>
      <c r="AL5" s="176">
        <v>0</v>
      </c>
      <c r="AM5" s="176">
        <v>0</v>
      </c>
      <c r="AN5" s="176">
        <v>0</v>
      </c>
      <c r="AO5" s="342">
        <v>0</v>
      </c>
      <c r="AU5" s="517" t="s">
        <v>505</v>
      </c>
      <c r="AV5" s="518">
        <v>0</v>
      </c>
    </row>
    <row r="6" spans="1:48" ht="14.95" customHeight="1" thickBot="1" x14ac:dyDescent="0.3">
      <c r="A6" s="170" t="s">
        <v>483</v>
      </c>
      <c r="B6" s="171" t="s">
        <v>161</v>
      </c>
      <c r="C6" s="171" t="s">
        <v>125</v>
      </c>
      <c r="D6" s="171" t="s">
        <v>498</v>
      </c>
      <c r="E6" s="172" t="s">
        <v>3</v>
      </c>
      <c r="F6" s="172">
        <v>5</v>
      </c>
      <c r="G6" s="172">
        <v>33</v>
      </c>
      <c r="H6" s="374" t="s">
        <v>69</v>
      </c>
      <c r="I6" s="374" t="s">
        <v>69</v>
      </c>
      <c r="J6" s="374">
        <v>1</v>
      </c>
      <c r="K6" s="374">
        <v>0</v>
      </c>
      <c r="L6" s="374">
        <v>0</v>
      </c>
      <c r="M6" s="374">
        <v>0</v>
      </c>
      <c r="N6" s="374">
        <v>0</v>
      </c>
      <c r="O6" s="374">
        <v>0</v>
      </c>
      <c r="P6" s="374" t="s">
        <v>69</v>
      </c>
      <c r="Q6" s="374" t="s">
        <v>69</v>
      </c>
      <c r="R6" s="374">
        <v>5</v>
      </c>
      <c r="S6" s="639"/>
      <c r="T6" s="174" t="s">
        <v>501</v>
      </c>
      <c r="U6" s="175" t="s">
        <v>182</v>
      </c>
      <c r="V6" s="173" t="s">
        <v>100</v>
      </c>
      <c r="W6" s="173" t="s">
        <v>100</v>
      </c>
      <c r="X6" s="175" t="s">
        <v>184</v>
      </c>
      <c r="Y6" s="380" t="s">
        <v>502</v>
      </c>
      <c r="Z6" s="176">
        <v>1</v>
      </c>
      <c r="AA6" s="176">
        <v>0</v>
      </c>
      <c r="AB6" s="176">
        <v>0</v>
      </c>
      <c r="AC6" s="342">
        <v>1</v>
      </c>
      <c r="AD6" s="176">
        <v>1</v>
      </c>
      <c r="AE6" s="176">
        <v>0</v>
      </c>
      <c r="AF6" s="176">
        <v>0</v>
      </c>
      <c r="AG6" s="342">
        <v>1</v>
      </c>
      <c r="AH6" s="176">
        <v>0</v>
      </c>
      <c r="AI6" s="176">
        <v>0</v>
      </c>
      <c r="AJ6" s="176">
        <v>0</v>
      </c>
      <c r="AK6" s="342">
        <v>0</v>
      </c>
      <c r="AL6" s="176">
        <v>0</v>
      </c>
      <c r="AM6" s="176">
        <v>0</v>
      </c>
      <c r="AN6" s="176">
        <v>0</v>
      </c>
      <c r="AO6" s="342">
        <v>0</v>
      </c>
      <c r="AU6" s="517" t="s">
        <v>506</v>
      </c>
      <c r="AV6" s="518">
        <v>3</v>
      </c>
    </row>
    <row r="7" spans="1:48" ht="14.95" customHeight="1" thickBot="1" x14ac:dyDescent="0.35">
      <c r="A7" s="170" t="s">
        <v>509</v>
      </c>
      <c r="B7" s="171" t="s">
        <v>161</v>
      </c>
      <c r="C7" s="171" t="s">
        <v>125</v>
      </c>
      <c r="D7" s="171" t="s">
        <v>447</v>
      </c>
      <c r="E7" s="172" t="s">
        <v>1</v>
      </c>
      <c r="F7" s="172">
        <v>22</v>
      </c>
      <c r="G7" s="172">
        <v>0</v>
      </c>
      <c r="H7" s="374" t="s">
        <v>69</v>
      </c>
      <c r="I7" s="374" t="s">
        <v>69</v>
      </c>
      <c r="J7" s="374">
        <v>4</v>
      </c>
      <c r="K7" s="374">
        <v>1</v>
      </c>
      <c r="L7" s="374">
        <v>0</v>
      </c>
      <c r="M7" s="374">
        <v>0</v>
      </c>
      <c r="N7" s="374">
        <v>0</v>
      </c>
      <c r="O7" s="374">
        <v>0</v>
      </c>
      <c r="P7" s="374" t="s">
        <v>69</v>
      </c>
      <c r="Q7" s="374" t="s">
        <v>69</v>
      </c>
      <c r="R7" s="374">
        <v>0</v>
      </c>
      <c r="S7" s="639"/>
      <c r="T7" s="181" t="s">
        <v>515</v>
      </c>
      <c r="U7" s="175" t="s">
        <v>184</v>
      </c>
      <c r="V7" s="173" t="s">
        <v>516</v>
      </c>
      <c r="W7" s="173" t="s">
        <v>100</v>
      </c>
      <c r="X7" s="175" t="s">
        <v>182</v>
      </c>
      <c r="Y7" s="380" t="s">
        <v>502</v>
      </c>
      <c r="Z7" s="176">
        <v>1</v>
      </c>
      <c r="AA7" s="176">
        <v>1</v>
      </c>
      <c r="AB7" s="176">
        <v>0</v>
      </c>
      <c r="AC7" s="342">
        <v>0</v>
      </c>
      <c r="AD7" s="176">
        <v>1</v>
      </c>
      <c r="AE7" s="176">
        <v>1</v>
      </c>
      <c r="AF7" s="176">
        <v>0</v>
      </c>
      <c r="AG7" s="342">
        <v>0</v>
      </c>
      <c r="AH7" s="176">
        <v>0</v>
      </c>
      <c r="AI7" s="176">
        <v>0</v>
      </c>
      <c r="AJ7" s="176">
        <v>0</v>
      </c>
      <c r="AK7" s="342">
        <v>0</v>
      </c>
      <c r="AL7" s="176">
        <v>0</v>
      </c>
      <c r="AM7" s="176">
        <v>0</v>
      </c>
      <c r="AN7" s="176">
        <v>0</v>
      </c>
      <c r="AO7" s="342">
        <v>0</v>
      </c>
      <c r="AU7" s="517" t="s">
        <v>507</v>
      </c>
      <c r="AV7" s="518">
        <v>14</v>
      </c>
    </row>
    <row r="8" spans="1:48" ht="14.95" customHeight="1" thickBot="1" x14ac:dyDescent="0.3">
      <c r="A8" s="187" t="s">
        <v>245</v>
      </c>
      <c r="B8" s="188" t="s">
        <v>231</v>
      </c>
      <c r="C8" s="188" t="s">
        <v>95</v>
      </c>
      <c r="D8" s="188" t="s">
        <v>235</v>
      </c>
      <c r="E8" s="184" t="s">
        <v>3</v>
      </c>
      <c r="F8" s="184">
        <v>6</v>
      </c>
      <c r="G8" s="184">
        <v>66</v>
      </c>
      <c r="H8" s="373">
        <v>0</v>
      </c>
      <c r="I8" s="373">
        <v>0</v>
      </c>
      <c r="J8" s="373">
        <v>0</v>
      </c>
      <c r="K8" s="373">
        <v>0</v>
      </c>
      <c r="L8" s="373">
        <v>0</v>
      </c>
      <c r="M8" s="373">
        <v>2</v>
      </c>
      <c r="N8" s="373">
        <v>0</v>
      </c>
      <c r="O8" s="373">
        <v>0</v>
      </c>
      <c r="P8" s="373">
        <v>1</v>
      </c>
      <c r="Q8" s="373">
        <v>0</v>
      </c>
      <c r="R8" s="373">
        <v>10</v>
      </c>
      <c r="S8" s="645">
        <v>13053</v>
      </c>
      <c r="T8" s="198" t="s">
        <v>479</v>
      </c>
      <c r="U8" s="190" t="s">
        <v>247</v>
      </c>
      <c r="V8" s="189" t="s">
        <v>110</v>
      </c>
      <c r="W8" s="189" t="s">
        <v>141</v>
      </c>
      <c r="X8" s="186" t="s">
        <v>117</v>
      </c>
      <c r="Y8" s="381" t="s">
        <v>163</v>
      </c>
      <c r="Z8" s="186">
        <v>1</v>
      </c>
      <c r="AA8" s="186">
        <v>0</v>
      </c>
      <c r="AB8" s="186">
        <v>0</v>
      </c>
      <c r="AC8" s="341">
        <v>1</v>
      </c>
      <c r="AD8" s="186">
        <v>0</v>
      </c>
      <c r="AE8" s="186">
        <v>0</v>
      </c>
      <c r="AF8" s="186">
        <v>0</v>
      </c>
      <c r="AG8" s="341">
        <v>0</v>
      </c>
      <c r="AH8" s="186">
        <v>0</v>
      </c>
      <c r="AI8" s="186">
        <v>0</v>
      </c>
      <c r="AJ8" s="186">
        <v>0</v>
      </c>
      <c r="AK8" s="341">
        <v>0</v>
      </c>
      <c r="AL8" s="186">
        <v>1</v>
      </c>
      <c r="AM8" s="186">
        <v>0</v>
      </c>
      <c r="AN8" s="186">
        <v>0</v>
      </c>
      <c r="AO8" s="341">
        <v>1</v>
      </c>
    </row>
    <row r="9" spans="1:48" ht="14.95" customHeight="1" thickBot="1" x14ac:dyDescent="0.3">
      <c r="A9" s="187" t="s">
        <v>242</v>
      </c>
      <c r="B9" s="188" t="s">
        <v>231</v>
      </c>
      <c r="C9" s="188" t="s">
        <v>33</v>
      </c>
      <c r="D9" s="188" t="s">
        <v>241</v>
      </c>
      <c r="E9" s="184" t="s">
        <v>3</v>
      </c>
      <c r="F9" s="184">
        <v>5</v>
      </c>
      <c r="G9" s="184">
        <v>82</v>
      </c>
      <c r="H9" s="373">
        <v>0</v>
      </c>
      <c r="I9" s="373">
        <v>0</v>
      </c>
      <c r="J9" s="373">
        <v>1</v>
      </c>
      <c r="K9" s="373">
        <v>0</v>
      </c>
      <c r="L9" s="373">
        <v>0</v>
      </c>
      <c r="M9" s="373">
        <v>0</v>
      </c>
      <c r="N9" s="373">
        <v>0</v>
      </c>
      <c r="O9" s="373">
        <v>0</v>
      </c>
      <c r="P9" s="373">
        <v>1</v>
      </c>
      <c r="Q9" s="373">
        <v>0</v>
      </c>
      <c r="R9" s="373">
        <v>14</v>
      </c>
      <c r="S9" s="645">
        <v>13902</v>
      </c>
      <c r="T9" s="204" t="s">
        <v>756</v>
      </c>
      <c r="U9" s="186" t="s">
        <v>145</v>
      </c>
      <c r="V9" s="186" t="s">
        <v>141</v>
      </c>
      <c r="W9" s="186" t="s">
        <v>111</v>
      </c>
      <c r="X9" s="186" t="s">
        <v>117</v>
      </c>
      <c r="Y9" s="191" t="s">
        <v>154</v>
      </c>
      <c r="Z9" s="186">
        <v>1</v>
      </c>
      <c r="AA9" s="186">
        <v>0</v>
      </c>
      <c r="AB9" s="186">
        <v>0</v>
      </c>
      <c r="AC9" s="341">
        <v>1</v>
      </c>
      <c r="AD9" s="186">
        <v>0</v>
      </c>
      <c r="AE9" s="186">
        <v>0</v>
      </c>
      <c r="AF9" s="186">
        <v>0</v>
      </c>
      <c r="AG9" s="341">
        <v>0</v>
      </c>
      <c r="AH9" s="186">
        <v>0</v>
      </c>
      <c r="AI9" s="186">
        <v>0</v>
      </c>
      <c r="AJ9" s="186">
        <v>0</v>
      </c>
      <c r="AK9" s="341">
        <v>0</v>
      </c>
      <c r="AL9" s="186">
        <v>1</v>
      </c>
      <c r="AM9" s="186">
        <v>0</v>
      </c>
      <c r="AN9" s="186">
        <v>0</v>
      </c>
      <c r="AO9" s="341">
        <v>1</v>
      </c>
    </row>
    <row r="10" spans="1:48" ht="14.95" customHeight="1" thickBot="1" x14ac:dyDescent="0.3">
      <c r="A10" s="201" t="s">
        <v>174</v>
      </c>
      <c r="B10" s="202" t="s">
        <v>231</v>
      </c>
      <c r="C10" s="202" t="s">
        <v>32</v>
      </c>
      <c r="D10" s="202" t="s">
        <v>235</v>
      </c>
      <c r="E10" s="134" t="s">
        <v>3</v>
      </c>
      <c r="F10" s="134">
        <v>3</v>
      </c>
      <c r="G10" s="134">
        <v>64</v>
      </c>
      <c r="H10" s="391">
        <v>0</v>
      </c>
      <c r="I10" s="391">
        <v>0</v>
      </c>
      <c r="J10" s="391">
        <v>0</v>
      </c>
      <c r="K10" s="373">
        <v>0</v>
      </c>
      <c r="L10" s="391">
        <v>0</v>
      </c>
      <c r="M10" s="391">
        <v>1</v>
      </c>
      <c r="N10" s="391">
        <v>1</v>
      </c>
      <c r="O10" s="391">
        <v>0</v>
      </c>
      <c r="P10" s="391">
        <v>1</v>
      </c>
      <c r="Q10" s="391">
        <v>0</v>
      </c>
      <c r="R10" s="391">
        <v>12</v>
      </c>
      <c r="S10" s="339">
        <v>13268</v>
      </c>
      <c r="T10" s="198" t="s">
        <v>790</v>
      </c>
      <c r="U10" s="190" t="s">
        <v>144</v>
      </c>
      <c r="V10" s="189" t="s">
        <v>139</v>
      </c>
      <c r="W10" s="189" t="s">
        <v>115</v>
      </c>
      <c r="X10" s="186" t="s">
        <v>159</v>
      </c>
      <c r="Y10" s="186" t="s">
        <v>131</v>
      </c>
      <c r="Z10" s="186">
        <v>1</v>
      </c>
      <c r="AA10" s="186">
        <v>0</v>
      </c>
      <c r="AB10" s="186">
        <v>0</v>
      </c>
      <c r="AC10" s="341">
        <v>1</v>
      </c>
      <c r="AD10" s="186">
        <v>0</v>
      </c>
      <c r="AE10" s="186">
        <v>0</v>
      </c>
      <c r="AF10" s="186">
        <v>0</v>
      </c>
      <c r="AG10" s="341">
        <v>0</v>
      </c>
      <c r="AH10" s="186">
        <v>0</v>
      </c>
      <c r="AI10" s="186">
        <v>0</v>
      </c>
      <c r="AJ10" s="186">
        <v>0</v>
      </c>
      <c r="AK10" s="341">
        <v>0</v>
      </c>
      <c r="AL10" s="186">
        <v>1</v>
      </c>
      <c r="AM10" s="186">
        <v>0</v>
      </c>
      <c r="AN10" s="186">
        <v>0</v>
      </c>
      <c r="AO10" s="341">
        <v>1</v>
      </c>
    </row>
    <row r="11" spans="1:48" ht="14.95" thickBot="1" x14ac:dyDescent="0.3">
      <c r="A11" s="104"/>
      <c r="B11" s="105"/>
      <c r="C11" s="731" t="s">
        <v>237</v>
      </c>
      <c r="D11" s="732"/>
      <c r="E11" s="733"/>
      <c r="F11" s="457">
        <f>SUM(F8:F10)</f>
        <v>14</v>
      </c>
      <c r="G11" s="457">
        <f t="shared" ref="G11:R11" si="0">SUM(G8:G10)</f>
        <v>212</v>
      </c>
      <c r="H11" s="457">
        <f t="shared" si="0"/>
        <v>0</v>
      </c>
      <c r="I11" s="457">
        <f t="shared" si="0"/>
        <v>0</v>
      </c>
      <c r="J11" s="457">
        <f t="shared" si="0"/>
        <v>1</v>
      </c>
      <c r="K11" s="457">
        <f t="shared" si="0"/>
        <v>0</v>
      </c>
      <c r="L11" s="457">
        <f t="shared" si="0"/>
        <v>0</v>
      </c>
      <c r="M11" s="457">
        <f t="shared" si="0"/>
        <v>3</v>
      </c>
      <c r="N11" s="457">
        <f t="shared" si="0"/>
        <v>1</v>
      </c>
      <c r="O11" s="457">
        <f t="shared" si="0"/>
        <v>0</v>
      </c>
      <c r="P11" s="457">
        <f t="shared" si="0"/>
        <v>3</v>
      </c>
      <c r="Q11" s="457">
        <f t="shared" si="0"/>
        <v>0</v>
      </c>
      <c r="R11" s="457">
        <f t="shared" si="0"/>
        <v>36</v>
      </c>
      <c r="S11" s="664"/>
      <c r="T11" s="458"/>
      <c r="U11" s="458"/>
      <c r="V11" s="458"/>
      <c r="W11" s="458"/>
      <c r="X11" s="459"/>
      <c r="Y11" s="460" t="s">
        <v>237</v>
      </c>
      <c r="Z11" s="457">
        <f t="shared" ref="Z11:AO11" si="1">SUM(Z8:Z10)</f>
        <v>3</v>
      </c>
      <c r="AA11" s="457">
        <f t="shared" si="1"/>
        <v>0</v>
      </c>
      <c r="AB11" s="457">
        <f t="shared" si="1"/>
        <v>0</v>
      </c>
      <c r="AC11" s="457">
        <f t="shared" si="1"/>
        <v>3</v>
      </c>
      <c r="AD11" s="461">
        <f t="shared" si="1"/>
        <v>0</v>
      </c>
      <c r="AE11" s="461">
        <f t="shared" si="1"/>
        <v>0</v>
      </c>
      <c r="AF11" s="461">
        <f t="shared" si="1"/>
        <v>0</v>
      </c>
      <c r="AG11" s="461">
        <f t="shared" si="1"/>
        <v>0</v>
      </c>
      <c r="AH11" s="462">
        <f t="shared" si="1"/>
        <v>0</v>
      </c>
      <c r="AI11" s="462">
        <f t="shared" si="1"/>
        <v>0</v>
      </c>
      <c r="AJ11" s="462">
        <f t="shared" si="1"/>
        <v>0</v>
      </c>
      <c r="AK11" s="462">
        <f t="shared" si="1"/>
        <v>0</v>
      </c>
      <c r="AL11" s="457">
        <f t="shared" si="1"/>
        <v>3</v>
      </c>
      <c r="AM11" s="457">
        <f t="shared" si="1"/>
        <v>0</v>
      </c>
      <c r="AN11" s="457">
        <f t="shared" si="1"/>
        <v>0</v>
      </c>
      <c r="AO11" s="457">
        <f t="shared" si="1"/>
        <v>3</v>
      </c>
    </row>
    <row r="12" spans="1:48" ht="14.95" thickBot="1" x14ac:dyDescent="0.3">
      <c r="A12" s="104"/>
      <c r="B12" s="105"/>
      <c r="C12" s="728" t="s">
        <v>70</v>
      </c>
      <c r="D12" s="729"/>
      <c r="E12" s="730"/>
      <c r="F12" s="128">
        <f t="shared" ref="F12:R12" si="2">SUM(F3:F10)</f>
        <v>130</v>
      </c>
      <c r="G12" s="128">
        <f t="shared" si="2"/>
        <v>305</v>
      </c>
      <c r="H12" s="128">
        <f t="shared" si="2"/>
        <v>0</v>
      </c>
      <c r="I12" s="128">
        <f t="shared" si="2"/>
        <v>0</v>
      </c>
      <c r="J12" s="128">
        <f t="shared" si="2"/>
        <v>21</v>
      </c>
      <c r="K12" s="128">
        <f t="shared" si="2"/>
        <v>8</v>
      </c>
      <c r="L12" s="128">
        <f t="shared" si="2"/>
        <v>0</v>
      </c>
      <c r="M12" s="128">
        <f t="shared" si="2"/>
        <v>3</v>
      </c>
      <c r="N12" s="128">
        <f t="shared" si="2"/>
        <v>2</v>
      </c>
      <c r="O12" s="128">
        <f t="shared" si="2"/>
        <v>0</v>
      </c>
      <c r="P12" s="128">
        <f t="shared" si="2"/>
        <v>3</v>
      </c>
      <c r="Q12" s="128">
        <f t="shared" si="2"/>
        <v>0</v>
      </c>
      <c r="R12" s="128">
        <f t="shared" si="2"/>
        <v>50</v>
      </c>
      <c r="S12" s="665"/>
      <c r="T12" s="197"/>
      <c r="U12" s="197"/>
      <c r="V12" s="197"/>
      <c r="W12" s="197"/>
      <c r="X12" s="12"/>
      <c r="Y12" s="133" t="s">
        <v>70</v>
      </c>
      <c r="Z12" s="128">
        <f t="shared" ref="Z12:AO12" si="3">SUM(Z3:Z10)</f>
        <v>8</v>
      </c>
      <c r="AA12" s="128">
        <f t="shared" si="3"/>
        <v>3</v>
      </c>
      <c r="AB12" s="128">
        <f t="shared" si="3"/>
        <v>0</v>
      </c>
      <c r="AC12" s="128">
        <f t="shared" si="3"/>
        <v>5</v>
      </c>
      <c r="AD12" s="126">
        <f t="shared" si="3"/>
        <v>3</v>
      </c>
      <c r="AE12" s="126">
        <f t="shared" si="3"/>
        <v>2</v>
      </c>
      <c r="AF12" s="126">
        <f t="shared" si="3"/>
        <v>0</v>
      </c>
      <c r="AG12" s="126">
        <f t="shared" si="3"/>
        <v>1</v>
      </c>
      <c r="AH12" s="127">
        <f t="shared" si="3"/>
        <v>2</v>
      </c>
      <c r="AI12" s="127">
        <f t="shared" si="3"/>
        <v>1</v>
      </c>
      <c r="AJ12" s="127">
        <f t="shared" si="3"/>
        <v>0</v>
      </c>
      <c r="AK12" s="127">
        <f t="shared" si="3"/>
        <v>1</v>
      </c>
      <c r="AL12" s="128">
        <f t="shared" si="3"/>
        <v>3</v>
      </c>
      <c r="AM12" s="128">
        <f t="shared" si="3"/>
        <v>0</v>
      </c>
      <c r="AN12" s="128">
        <f t="shared" si="3"/>
        <v>0</v>
      </c>
      <c r="AO12" s="128">
        <f t="shared" si="3"/>
        <v>3</v>
      </c>
    </row>
    <row r="13" spans="1:48" x14ac:dyDescent="0.25">
      <c r="A13" s="727" t="s">
        <v>53</v>
      </c>
      <c r="B13" s="687"/>
      <c r="C13" s="687"/>
      <c r="D13" s="687"/>
      <c r="E13" s="687"/>
      <c r="F13" s="687"/>
      <c r="G13" s="687"/>
      <c r="H13" s="687"/>
      <c r="I13" s="687"/>
      <c r="J13" s="687"/>
      <c r="K13" s="687"/>
      <c r="L13" s="687"/>
      <c r="M13" s="687"/>
      <c r="N13" s="687"/>
      <c r="O13" s="687"/>
      <c r="P13" s="687"/>
      <c r="Q13" s="687"/>
      <c r="R13" s="687"/>
      <c r="S13" s="687"/>
      <c r="T13" s="687"/>
      <c r="U13" s="687"/>
      <c r="V13" s="687"/>
      <c r="W13" s="687"/>
      <c r="X13" s="687"/>
      <c r="Y13" s="687"/>
      <c r="Z13" s="687"/>
      <c r="AA13" s="687"/>
      <c r="AB13" s="687"/>
      <c r="AC13" s="687"/>
      <c r="AD13" s="687"/>
      <c r="AE13" s="687"/>
      <c r="AF13" s="687"/>
      <c r="AG13" s="687"/>
      <c r="AH13" s="687"/>
      <c r="AI13" s="687"/>
      <c r="AJ13" s="687"/>
      <c r="AK13" s="687"/>
      <c r="AL13" s="687"/>
      <c r="AM13" s="687"/>
      <c r="AN13" s="687"/>
      <c r="AO13" s="687"/>
    </row>
    <row r="14" spans="1:48" x14ac:dyDescent="0.25">
      <c r="A14" s="522" t="s">
        <v>559</v>
      </c>
    </row>
    <row r="15" spans="1:48" x14ac:dyDescent="0.25">
      <c r="A15" s="522" t="s">
        <v>499</v>
      </c>
    </row>
    <row r="16" spans="1:48" x14ac:dyDescent="0.25">
      <c r="A16" t="s">
        <v>560</v>
      </c>
    </row>
    <row r="17" spans="1:41" x14ac:dyDescent="0.25">
      <c r="A17" s="727" t="s">
        <v>561</v>
      </c>
      <c r="B17" s="687"/>
      <c r="C17" s="687"/>
      <c r="D17" s="687"/>
      <c r="E17" s="687"/>
      <c r="F17" s="687"/>
      <c r="G17" s="687"/>
      <c r="H17" s="687"/>
      <c r="I17" s="687"/>
      <c r="J17" s="687"/>
      <c r="K17" s="687"/>
      <c r="L17" s="687"/>
      <c r="M17" s="687"/>
      <c r="N17" s="687"/>
      <c r="O17" s="687"/>
      <c r="P17" s="687"/>
      <c r="Q17" s="687"/>
      <c r="R17" s="687"/>
      <c r="S17" s="687"/>
      <c r="T17" s="687"/>
      <c r="U17" s="687"/>
      <c r="V17" s="687"/>
      <c r="W17" s="687"/>
      <c r="X17" s="687"/>
      <c r="Y17" s="687"/>
      <c r="Z17" s="687"/>
      <c r="AA17" s="687"/>
      <c r="AB17" s="687"/>
      <c r="AC17" s="687"/>
      <c r="AD17" s="687"/>
      <c r="AE17" s="687"/>
      <c r="AF17" s="687"/>
      <c r="AG17" s="687"/>
      <c r="AH17" s="687"/>
      <c r="AI17" s="687"/>
      <c r="AJ17" s="687"/>
      <c r="AK17" s="687"/>
      <c r="AL17" s="687"/>
      <c r="AM17" s="687"/>
      <c r="AN17" s="687"/>
      <c r="AO17" s="687"/>
    </row>
    <row r="18" spans="1:41" x14ac:dyDescent="0.25">
      <c r="A18" t="s">
        <v>452</v>
      </c>
    </row>
    <row r="19" spans="1:41" x14ac:dyDescent="0.25">
      <c r="A19" t="s">
        <v>75</v>
      </c>
    </row>
    <row r="20" spans="1:41" x14ac:dyDescent="0.25">
      <c r="A20" s="313"/>
      <c r="B20" s="73" t="s">
        <v>40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</row>
    <row r="21" spans="1:41" x14ac:dyDescent="0.25">
      <c r="A21" s="314"/>
      <c r="B21" s="73" t="s">
        <v>38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</row>
    <row r="22" spans="1:41" x14ac:dyDescent="0.25">
      <c r="A22" s="315"/>
      <c r="B22" s="73" t="s">
        <v>39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</row>
    <row r="23" spans="1:41" ht="16.3" x14ac:dyDescent="0.3">
      <c r="A23" s="681" t="s">
        <v>28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</row>
  </sheetData>
  <mergeCells count="14">
    <mergeCell ref="A17:AO17"/>
    <mergeCell ref="C12:E12"/>
    <mergeCell ref="A13:AO13"/>
    <mergeCell ref="Z1:AC1"/>
    <mergeCell ref="AD1:AG1"/>
    <mergeCell ref="AH1:AK1"/>
    <mergeCell ref="AL1:AO1"/>
    <mergeCell ref="C11:E11"/>
    <mergeCell ref="A1:C1"/>
    <mergeCell ref="E1:G1"/>
    <mergeCell ref="H1:I1"/>
    <mergeCell ref="J1:M1"/>
    <mergeCell ref="N1:O1"/>
    <mergeCell ref="P1:R1"/>
  </mergeCells>
  <pageMargins left="0.7" right="0.7" top="0.75" bottom="0.75" header="0.3" footer="0.3"/>
  <ignoredErrors>
    <ignoredError sqref="T4 T8 T10" twoDigitTextYear="1"/>
    <ignoredError sqref="T11:AO11 F11:R11" formulaRange="1"/>
  </ignoredError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7066D-ABE5-4E54-AB28-2B516A652F9D}">
  <dimension ref="A1:AV31"/>
  <sheetViews>
    <sheetView zoomScaleNormal="100" workbookViewId="0">
      <selection activeCell="U21" sqref="U21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5" bestFit="1" customWidth="1"/>
    <col min="5" max="11" width="3.75" customWidth="1"/>
    <col min="12" max="12" width="4" customWidth="1"/>
    <col min="13" max="18" width="3.75" customWidth="1"/>
    <col min="19" max="19" width="6.625" customWidth="1"/>
    <col min="20" max="20" width="6.25" customWidth="1"/>
    <col min="21" max="21" width="23.625" bestFit="1" customWidth="1"/>
    <col min="22" max="22" width="21.625" bestFit="1" customWidth="1"/>
    <col min="23" max="23" width="21.875" bestFit="1" customWidth="1"/>
    <col min="24" max="24" width="23.625" bestFit="1" customWidth="1"/>
    <col min="25" max="25" width="24.375" bestFit="1" customWidth="1"/>
    <col min="26" max="41" width="3.75" customWidth="1"/>
    <col min="47" max="47" width="9.875" bestFit="1" customWidth="1"/>
  </cols>
  <sheetData>
    <row r="1" spans="1:48" ht="14.95" customHeight="1" thickBot="1" x14ac:dyDescent="0.3">
      <c r="A1" s="751" t="s">
        <v>348</v>
      </c>
      <c r="B1" s="752"/>
      <c r="C1" s="752"/>
      <c r="D1" s="243"/>
      <c r="E1" s="753" t="s">
        <v>24</v>
      </c>
      <c r="F1" s="754"/>
      <c r="G1" s="755"/>
      <c r="H1" s="753" t="s">
        <v>74</v>
      </c>
      <c r="I1" s="755"/>
      <c r="J1" s="756" t="s">
        <v>6</v>
      </c>
      <c r="K1" s="757"/>
      <c r="L1" s="757"/>
      <c r="M1" s="758"/>
      <c r="N1" s="756" t="s">
        <v>7</v>
      </c>
      <c r="O1" s="758"/>
      <c r="P1" s="756" t="s">
        <v>25</v>
      </c>
      <c r="Q1" s="757"/>
      <c r="R1" s="758"/>
      <c r="S1" s="549" t="s">
        <v>8</v>
      </c>
      <c r="T1" s="244" t="s">
        <v>9</v>
      </c>
      <c r="U1" s="245" t="s">
        <v>10</v>
      </c>
      <c r="V1" s="245" t="s">
        <v>11</v>
      </c>
      <c r="W1" s="527" t="s">
        <v>109</v>
      </c>
      <c r="X1" s="245" t="s">
        <v>26</v>
      </c>
      <c r="Y1" s="528" t="s">
        <v>27</v>
      </c>
      <c r="Z1" s="745" t="s">
        <v>20</v>
      </c>
      <c r="AA1" s="746"/>
      <c r="AB1" s="746"/>
      <c r="AC1" s="747"/>
      <c r="AD1" s="745" t="s">
        <v>56</v>
      </c>
      <c r="AE1" s="746"/>
      <c r="AF1" s="746"/>
      <c r="AG1" s="747"/>
      <c r="AH1" s="745" t="s">
        <v>57</v>
      </c>
      <c r="AI1" s="746"/>
      <c r="AJ1" s="746"/>
      <c r="AK1" s="747"/>
      <c r="AL1" s="745" t="s">
        <v>58</v>
      </c>
      <c r="AM1" s="746"/>
      <c r="AN1" s="746"/>
      <c r="AO1" s="747"/>
    </row>
    <row r="2" spans="1:48" ht="14.95" customHeight="1" thickBot="1" x14ac:dyDescent="0.3">
      <c r="A2" s="246" t="s">
        <v>19</v>
      </c>
      <c r="B2" s="247" t="s">
        <v>18</v>
      </c>
      <c r="C2" s="248" t="s">
        <v>17</v>
      </c>
      <c r="D2" s="248" t="s">
        <v>37</v>
      </c>
      <c r="E2" s="249" t="s">
        <v>16</v>
      </c>
      <c r="F2" s="249" t="s">
        <v>4</v>
      </c>
      <c r="G2" s="249" t="s">
        <v>5</v>
      </c>
      <c r="H2" s="250" t="s">
        <v>12</v>
      </c>
      <c r="I2" s="250" t="s">
        <v>3</v>
      </c>
      <c r="J2" s="250" t="s">
        <v>12</v>
      </c>
      <c r="K2" s="250" t="s">
        <v>13</v>
      </c>
      <c r="L2" s="250" t="s">
        <v>2</v>
      </c>
      <c r="M2" s="250" t="s">
        <v>14</v>
      </c>
      <c r="N2" s="250" t="s">
        <v>15</v>
      </c>
      <c r="O2" s="250" t="s">
        <v>16</v>
      </c>
      <c r="P2" s="250" t="s">
        <v>21</v>
      </c>
      <c r="Q2" s="250" t="s">
        <v>22</v>
      </c>
      <c r="R2" s="250" t="s">
        <v>12</v>
      </c>
      <c r="S2" s="640"/>
      <c r="T2" s="252"/>
      <c r="U2" s="253"/>
      <c r="V2" s="251"/>
      <c r="W2" s="253"/>
      <c r="X2" s="245"/>
      <c r="Y2" s="254"/>
      <c r="Z2" s="255" t="s">
        <v>0</v>
      </c>
      <c r="AA2" s="255" t="s">
        <v>1</v>
      </c>
      <c r="AB2" s="255" t="s">
        <v>2</v>
      </c>
      <c r="AC2" s="255" t="s">
        <v>3</v>
      </c>
      <c r="AD2" s="255" t="s">
        <v>0</v>
      </c>
      <c r="AE2" s="255" t="s">
        <v>1</v>
      </c>
      <c r="AF2" s="255" t="s">
        <v>2</v>
      </c>
      <c r="AG2" s="255" t="s">
        <v>3</v>
      </c>
      <c r="AH2" s="255" t="s">
        <v>0</v>
      </c>
      <c r="AI2" s="255" t="s">
        <v>1</v>
      </c>
      <c r="AJ2" s="255" t="s">
        <v>2</v>
      </c>
      <c r="AK2" s="255" t="s">
        <v>3</v>
      </c>
      <c r="AL2" s="255" t="s">
        <v>0</v>
      </c>
      <c r="AM2" s="255" t="s">
        <v>1</v>
      </c>
      <c r="AN2" s="255" t="s">
        <v>2</v>
      </c>
      <c r="AO2" s="255" t="s">
        <v>3</v>
      </c>
      <c r="AU2" s="73" t="s">
        <v>508</v>
      </c>
    </row>
    <row r="3" spans="1:48" ht="14.95" customHeight="1" thickBot="1" x14ac:dyDescent="0.35">
      <c r="A3" s="312" t="s">
        <v>337</v>
      </c>
      <c r="B3" s="377" t="s">
        <v>153</v>
      </c>
      <c r="C3" s="377" t="s">
        <v>55</v>
      </c>
      <c r="D3" s="377" t="s">
        <v>345</v>
      </c>
      <c r="E3" s="127" t="s">
        <v>1</v>
      </c>
      <c r="F3" s="127">
        <v>26</v>
      </c>
      <c r="G3" s="127">
        <v>14</v>
      </c>
      <c r="H3" s="383">
        <v>1</v>
      </c>
      <c r="I3" s="383">
        <v>0</v>
      </c>
      <c r="J3" s="383">
        <v>4</v>
      </c>
      <c r="K3" s="383">
        <v>3</v>
      </c>
      <c r="L3" s="383">
        <v>0</v>
      </c>
      <c r="M3" s="383">
        <v>0</v>
      </c>
      <c r="N3" s="383">
        <v>1</v>
      </c>
      <c r="O3" s="383">
        <v>0</v>
      </c>
      <c r="P3" s="383">
        <v>0</v>
      </c>
      <c r="Q3" s="383">
        <v>0</v>
      </c>
      <c r="R3" s="383">
        <v>2</v>
      </c>
      <c r="S3" s="625">
        <v>10518</v>
      </c>
      <c r="T3" s="163" t="s">
        <v>185</v>
      </c>
      <c r="U3" s="164" t="s">
        <v>272</v>
      </c>
      <c r="V3" s="162" t="s">
        <v>136</v>
      </c>
      <c r="W3" s="521" t="s">
        <v>347</v>
      </c>
      <c r="X3" s="162" t="s">
        <v>154</v>
      </c>
      <c r="Y3" s="529" t="s">
        <v>155</v>
      </c>
      <c r="Z3" s="337">
        <v>1</v>
      </c>
      <c r="AA3" s="337">
        <v>1</v>
      </c>
      <c r="AB3" s="337">
        <v>0</v>
      </c>
      <c r="AC3" s="338">
        <v>0</v>
      </c>
      <c r="AD3" s="337">
        <v>0</v>
      </c>
      <c r="AE3" s="337">
        <v>0</v>
      </c>
      <c r="AF3" s="337">
        <v>0</v>
      </c>
      <c r="AG3" s="338">
        <v>0</v>
      </c>
      <c r="AH3" s="337">
        <v>1</v>
      </c>
      <c r="AI3" s="337">
        <v>1</v>
      </c>
      <c r="AJ3" s="337">
        <v>0</v>
      </c>
      <c r="AK3" s="338">
        <v>0</v>
      </c>
      <c r="AL3" s="337">
        <v>0</v>
      </c>
      <c r="AM3" s="337">
        <v>0</v>
      </c>
      <c r="AN3" s="337">
        <v>0</v>
      </c>
      <c r="AO3" s="338">
        <v>0</v>
      </c>
      <c r="AU3" s="515" t="s">
        <v>503</v>
      </c>
      <c r="AV3" s="516">
        <v>50</v>
      </c>
    </row>
    <row r="4" spans="1:48" ht="14.95" customHeight="1" thickBot="1" x14ac:dyDescent="0.35">
      <c r="A4" s="155" t="s">
        <v>376</v>
      </c>
      <c r="B4" s="157" t="s">
        <v>153</v>
      </c>
      <c r="C4" s="157" t="s">
        <v>72</v>
      </c>
      <c r="D4" s="157" t="s">
        <v>377</v>
      </c>
      <c r="E4" s="158" t="s">
        <v>2</v>
      </c>
      <c r="F4" s="158">
        <v>27</v>
      </c>
      <c r="G4" s="158">
        <v>27</v>
      </c>
      <c r="H4" s="375">
        <v>1</v>
      </c>
      <c r="I4" s="375">
        <v>0</v>
      </c>
      <c r="J4" s="375">
        <v>5</v>
      </c>
      <c r="K4" s="375">
        <v>1</v>
      </c>
      <c r="L4" s="375">
        <v>0</v>
      </c>
      <c r="M4" s="375">
        <v>0</v>
      </c>
      <c r="N4" s="375">
        <v>0</v>
      </c>
      <c r="O4" s="375">
        <v>0</v>
      </c>
      <c r="P4" s="375">
        <v>1</v>
      </c>
      <c r="Q4" s="375">
        <v>0</v>
      </c>
      <c r="R4" s="375">
        <v>4</v>
      </c>
      <c r="S4" s="625"/>
      <c r="T4" s="334" t="s">
        <v>378</v>
      </c>
      <c r="U4" s="164" t="s">
        <v>252</v>
      </c>
      <c r="V4" s="162" t="s">
        <v>381</v>
      </c>
      <c r="W4" s="164" t="s">
        <v>382</v>
      </c>
      <c r="X4" s="162" t="s">
        <v>159</v>
      </c>
      <c r="Y4" s="523" t="s">
        <v>163</v>
      </c>
      <c r="Z4" s="159">
        <v>1</v>
      </c>
      <c r="AA4" s="159">
        <v>0</v>
      </c>
      <c r="AB4" s="159">
        <v>1</v>
      </c>
      <c r="AC4" s="523">
        <v>0</v>
      </c>
      <c r="AD4" s="159">
        <v>0</v>
      </c>
      <c r="AE4" s="159">
        <v>0</v>
      </c>
      <c r="AF4" s="159">
        <v>0</v>
      </c>
      <c r="AG4" s="523">
        <v>0</v>
      </c>
      <c r="AH4" s="159">
        <v>1</v>
      </c>
      <c r="AI4" s="159">
        <v>0</v>
      </c>
      <c r="AJ4" s="159">
        <v>1</v>
      </c>
      <c r="AK4" s="523">
        <v>0</v>
      </c>
      <c r="AL4" s="159">
        <v>0</v>
      </c>
      <c r="AM4" s="159">
        <v>0</v>
      </c>
      <c r="AN4" s="159">
        <v>0</v>
      </c>
      <c r="AO4" s="523">
        <v>0</v>
      </c>
      <c r="AU4" s="517" t="s">
        <v>504</v>
      </c>
      <c r="AV4" s="518">
        <v>29</v>
      </c>
    </row>
    <row r="5" spans="1:48" ht="14.95" customHeight="1" thickBot="1" x14ac:dyDescent="0.35">
      <c r="A5" s="155" t="s">
        <v>397</v>
      </c>
      <c r="B5" s="157" t="s">
        <v>153</v>
      </c>
      <c r="C5" s="157" t="s">
        <v>29</v>
      </c>
      <c r="D5" s="157" t="s">
        <v>227</v>
      </c>
      <c r="E5" s="158" t="s">
        <v>1</v>
      </c>
      <c r="F5" s="158">
        <v>45</v>
      </c>
      <c r="G5" s="158">
        <v>7</v>
      </c>
      <c r="H5" s="375">
        <v>1</v>
      </c>
      <c r="I5" s="375">
        <v>0</v>
      </c>
      <c r="J5" s="375">
        <v>7</v>
      </c>
      <c r="K5" s="375">
        <v>5</v>
      </c>
      <c r="L5" s="375">
        <v>0</v>
      </c>
      <c r="M5" s="375">
        <v>0</v>
      </c>
      <c r="N5" s="375">
        <v>0</v>
      </c>
      <c r="O5" s="375">
        <v>0</v>
      </c>
      <c r="P5" s="375">
        <v>0</v>
      </c>
      <c r="Q5" s="375">
        <v>0</v>
      </c>
      <c r="R5" s="375">
        <v>1</v>
      </c>
      <c r="S5" s="625"/>
      <c r="T5" s="163" t="s">
        <v>400</v>
      </c>
      <c r="U5" s="164" t="s">
        <v>144</v>
      </c>
      <c r="V5" s="162" t="s">
        <v>160</v>
      </c>
      <c r="W5" s="164" t="s">
        <v>381</v>
      </c>
      <c r="X5" s="159" t="s">
        <v>145</v>
      </c>
      <c r="Y5" s="165" t="s">
        <v>399</v>
      </c>
      <c r="Z5" s="159">
        <v>1</v>
      </c>
      <c r="AA5" s="159">
        <v>1</v>
      </c>
      <c r="AB5" s="159">
        <v>0</v>
      </c>
      <c r="AC5" s="523">
        <v>0</v>
      </c>
      <c r="AD5" s="159">
        <v>0</v>
      </c>
      <c r="AE5" s="159">
        <v>0</v>
      </c>
      <c r="AF5" s="159">
        <v>0</v>
      </c>
      <c r="AG5" s="523">
        <v>0</v>
      </c>
      <c r="AH5" s="159">
        <v>1</v>
      </c>
      <c r="AI5" s="159">
        <v>1</v>
      </c>
      <c r="AJ5" s="159">
        <v>0</v>
      </c>
      <c r="AK5" s="523">
        <v>0</v>
      </c>
      <c r="AL5" s="159">
        <v>0</v>
      </c>
      <c r="AM5" s="159">
        <v>0</v>
      </c>
      <c r="AN5" s="159">
        <v>0</v>
      </c>
      <c r="AO5" s="523">
        <v>0</v>
      </c>
      <c r="AU5" s="517" t="s">
        <v>505</v>
      </c>
      <c r="AV5" s="518">
        <v>2</v>
      </c>
    </row>
    <row r="6" spans="1:48" ht="14.95" customHeight="1" thickBot="1" x14ac:dyDescent="0.35">
      <c r="A6" s="155" t="s">
        <v>476</v>
      </c>
      <c r="B6" s="157" t="s">
        <v>161</v>
      </c>
      <c r="C6" s="157" t="s">
        <v>95</v>
      </c>
      <c r="D6" s="157" t="s">
        <v>477</v>
      </c>
      <c r="E6" s="158" t="s">
        <v>1</v>
      </c>
      <c r="F6" s="158">
        <v>50</v>
      </c>
      <c r="G6" s="158">
        <v>20</v>
      </c>
      <c r="H6" s="375" t="s">
        <v>69</v>
      </c>
      <c r="I6" s="625" t="s">
        <v>69</v>
      </c>
      <c r="J6" s="375">
        <v>8</v>
      </c>
      <c r="K6" s="375">
        <v>5</v>
      </c>
      <c r="L6" s="375">
        <v>0</v>
      </c>
      <c r="M6" s="375">
        <v>0</v>
      </c>
      <c r="N6" s="375">
        <v>0</v>
      </c>
      <c r="O6" s="375">
        <v>0</v>
      </c>
      <c r="P6" s="375" t="s">
        <v>69</v>
      </c>
      <c r="Q6" s="375" t="s">
        <v>69</v>
      </c>
      <c r="R6" s="375">
        <v>3</v>
      </c>
      <c r="S6" s="625"/>
      <c r="T6" s="163" t="s">
        <v>481</v>
      </c>
      <c r="U6" s="164" t="s">
        <v>114</v>
      </c>
      <c r="V6" s="162" t="s">
        <v>480</v>
      </c>
      <c r="W6" s="164" t="s">
        <v>100</v>
      </c>
      <c r="X6" s="159" t="s">
        <v>128</v>
      </c>
      <c r="Y6" s="165" t="s">
        <v>179</v>
      </c>
      <c r="Z6" s="159">
        <v>1</v>
      </c>
      <c r="AA6" s="159">
        <v>1</v>
      </c>
      <c r="AB6" s="159">
        <v>0</v>
      </c>
      <c r="AC6" s="523">
        <v>0</v>
      </c>
      <c r="AD6" s="159">
        <v>0</v>
      </c>
      <c r="AE6" s="159">
        <v>0</v>
      </c>
      <c r="AF6" s="159">
        <v>0</v>
      </c>
      <c r="AG6" s="523">
        <v>0</v>
      </c>
      <c r="AH6" s="159">
        <v>1</v>
      </c>
      <c r="AI6" s="159">
        <v>1</v>
      </c>
      <c r="AJ6" s="159">
        <v>0</v>
      </c>
      <c r="AK6" s="523">
        <v>0</v>
      </c>
      <c r="AL6" s="159">
        <v>0</v>
      </c>
      <c r="AM6" s="159">
        <v>0</v>
      </c>
      <c r="AN6" s="159">
        <v>0</v>
      </c>
      <c r="AO6" s="523">
        <v>0</v>
      </c>
      <c r="AU6" s="517" t="s">
        <v>506</v>
      </c>
      <c r="AV6" s="518">
        <v>19</v>
      </c>
    </row>
    <row r="7" spans="1:48" ht="14.95" customHeight="1" thickBot="1" x14ac:dyDescent="0.35">
      <c r="A7" s="155" t="s">
        <v>483</v>
      </c>
      <c r="B7" s="157" t="s">
        <v>161</v>
      </c>
      <c r="C7" s="157" t="s">
        <v>95</v>
      </c>
      <c r="D7" s="157" t="s">
        <v>490</v>
      </c>
      <c r="E7" s="158" t="s">
        <v>1</v>
      </c>
      <c r="F7" s="158">
        <v>33</v>
      </c>
      <c r="G7" s="158">
        <v>5</v>
      </c>
      <c r="H7" s="375" t="s">
        <v>69</v>
      </c>
      <c r="I7" s="375" t="s">
        <v>69</v>
      </c>
      <c r="J7" s="375">
        <v>5</v>
      </c>
      <c r="K7" s="375">
        <v>4</v>
      </c>
      <c r="L7" s="375">
        <v>0</v>
      </c>
      <c r="M7" s="375">
        <v>0</v>
      </c>
      <c r="N7" s="375">
        <v>1</v>
      </c>
      <c r="O7" s="375">
        <v>0</v>
      </c>
      <c r="P7" s="375" t="s">
        <v>69</v>
      </c>
      <c r="Q7" s="375" t="s">
        <v>69</v>
      </c>
      <c r="R7" s="375">
        <v>1</v>
      </c>
      <c r="S7" s="625"/>
      <c r="T7" s="163" t="s">
        <v>494</v>
      </c>
      <c r="U7" s="159" t="s">
        <v>128</v>
      </c>
      <c r="V7" s="162" t="s">
        <v>493</v>
      </c>
      <c r="W7" s="164" t="s">
        <v>100</v>
      </c>
      <c r="X7" s="162" t="s">
        <v>146</v>
      </c>
      <c r="Y7" s="165" t="s">
        <v>179</v>
      </c>
      <c r="Z7" s="159">
        <v>1</v>
      </c>
      <c r="AA7" s="159">
        <v>1</v>
      </c>
      <c r="AB7" s="159">
        <v>0</v>
      </c>
      <c r="AC7" s="523">
        <v>0</v>
      </c>
      <c r="AD7" s="159">
        <v>0</v>
      </c>
      <c r="AE7" s="159">
        <v>0</v>
      </c>
      <c r="AF7" s="159">
        <v>0</v>
      </c>
      <c r="AG7" s="523">
        <v>0</v>
      </c>
      <c r="AH7" s="159">
        <v>1</v>
      </c>
      <c r="AI7" s="159">
        <v>1</v>
      </c>
      <c r="AJ7" s="159">
        <v>0</v>
      </c>
      <c r="AK7" s="523">
        <v>0</v>
      </c>
      <c r="AL7" s="159">
        <v>0</v>
      </c>
      <c r="AM7" s="159">
        <v>0</v>
      </c>
      <c r="AN7" s="159">
        <v>0</v>
      </c>
      <c r="AO7" s="523">
        <v>0</v>
      </c>
      <c r="AU7" s="517" t="s">
        <v>507</v>
      </c>
      <c r="AV7" s="518">
        <v>1288</v>
      </c>
    </row>
    <row r="8" spans="1:48" ht="14.95" customHeight="1" thickBot="1" x14ac:dyDescent="0.35">
      <c r="A8" s="170" t="s">
        <v>229</v>
      </c>
      <c r="B8" s="171" t="s">
        <v>161</v>
      </c>
      <c r="C8" s="171" t="s">
        <v>55</v>
      </c>
      <c r="D8" s="171" t="s">
        <v>541</v>
      </c>
      <c r="E8" s="172" t="s">
        <v>1</v>
      </c>
      <c r="F8" s="172">
        <v>42</v>
      </c>
      <c r="G8" s="172">
        <v>10</v>
      </c>
      <c r="H8" s="374" t="s">
        <v>69</v>
      </c>
      <c r="I8" s="374" t="s">
        <v>69</v>
      </c>
      <c r="J8" s="374">
        <v>6</v>
      </c>
      <c r="K8" s="374">
        <v>5</v>
      </c>
      <c r="L8" s="374">
        <v>0</v>
      </c>
      <c r="M8" s="374">
        <v>0</v>
      </c>
      <c r="N8" s="374">
        <v>1</v>
      </c>
      <c r="O8" s="374">
        <v>0</v>
      </c>
      <c r="P8" s="374" t="s">
        <v>69</v>
      </c>
      <c r="Q8" s="374" t="s">
        <v>69</v>
      </c>
      <c r="R8" s="374">
        <v>1</v>
      </c>
      <c r="S8" s="639">
        <v>11453</v>
      </c>
      <c r="T8" s="525" t="s">
        <v>540</v>
      </c>
      <c r="U8" s="378" t="s">
        <v>159</v>
      </c>
      <c r="V8" s="176" t="s">
        <v>543</v>
      </c>
      <c r="W8" s="378" t="s">
        <v>100</v>
      </c>
      <c r="X8" s="176" t="s">
        <v>252</v>
      </c>
      <c r="Y8" s="526" t="s">
        <v>154</v>
      </c>
      <c r="Z8" s="176">
        <v>1</v>
      </c>
      <c r="AA8" s="176">
        <v>1</v>
      </c>
      <c r="AB8" s="176">
        <v>0</v>
      </c>
      <c r="AC8" s="342">
        <v>0</v>
      </c>
      <c r="AD8" s="176">
        <v>1</v>
      </c>
      <c r="AE8" s="176">
        <v>1</v>
      </c>
      <c r="AF8" s="176">
        <v>0</v>
      </c>
      <c r="AG8" s="342">
        <v>0</v>
      </c>
      <c r="AH8" s="176">
        <v>0</v>
      </c>
      <c r="AI8" s="176">
        <v>0</v>
      </c>
      <c r="AJ8" s="176">
        <v>0</v>
      </c>
      <c r="AK8" s="342">
        <v>0</v>
      </c>
      <c r="AL8" s="176">
        <v>0</v>
      </c>
      <c r="AM8" s="176">
        <v>0</v>
      </c>
      <c r="AN8" s="176">
        <v>0</v>
      </c>
      <c r="AO8" s="342">
        <v>0</v>
      </c>
    </row>
    <row r="9" spans="1:48" ht="14.95" customHeight="1" thickBot="1" x14ac:dyDescent="0.35">
      <c r="A9" s="312" t="s">
        <v>562</v>
      </c>
      <c r="B9" s="167" t="s">
        <v>161</v>
      </c>
      <c r="C9" s="167" t="s">
        <v>35</v>
      </c>
      <c r="D9" s="167" t="s">
        <v>108</v>
      </c>
      <c r="E9" s="364" t="s">
        <v>1</v>
      </c>
      <c r="F9" s="158">
        <v>47</v>
      </c>
      <c r="G9" s="158">
        <v>26</v>
      </c>
      <c r="H9" s="375" t="s">
        <v>69</v>
      </c>
      <c r="I9" s="375" t="s">
        <v>69</v>
      </c>
      <c r="J9" s="375">
        <v>7</v>
      </c>
      <c r="K9" s="375">
        <v>6</v>
      </c>
      <c r="L9" s="375">
        <v>0</v>
      </c>
      <c r="M9" s="375">
        <v>0</v>
      </c>
      <c r="N9" s="375">
        <v>1</v>
      </c>
      <c r="O9" s="375">
        <v>0</v>
      </c>
      <c r="P9" s="375" t="s">
        <v>69</v>
      </c>
      <c r="Q9" s="375" t="s">
        <v>69</v>
      </c>
      <c r="R9" s="375">
        <v>4</v>
      </c>
      <c r="S9" s="625"/>
      <c r="T9" s="382" t="s">
        <v>455</v>
      </c>
      <c r="U9" s="535" t="s">
        <v>119</v>
      </c>
      <c r="V9" s="535" t="s">
        <v>115</v>
      </c>
      <c r="W9" s="535" t="s">
        <v>100</v>
      </c>
      <c r="X9" s="536" t="s">
        <v>114</v>
      </c>
      <c r="Y9" s="537" t="s">
        <v>131</v>
      </c>
      <c r="Z9" s="659">
        <v>1</v>
      </c>
      <c r="AA9" s="659">
        <v>1</v>
      </c>
      <c r="AB9" s="659">
        <v>0</v>
      </c>
      <c r="AC9" s="653">
        <v>0</v>
      </c>
      <c r="AD9" s="659">
        <v>0</v>
      </c>
      <c r="AE9" s="659">
        <v>0</v>
      </c>
      <c r="AF9" s="659">
        <v>0</v>
      </c>
      <c r="AG9" s="653">
        <v>0</v>
      </c>
      <c r="AH9" s="659">
        <v>1</v>
      </c>
      <c r="AI9" s="659">
        <v>1</v>
      </c>
      <c r="AJ9" s="659">
        <v>0</v>
      </c>
      <c r="AK9" s="653">
        <v>0</v>
      </c>
      <c r="AL9" s="659">
        <v>0</v>
      </c>
      <c r="AM9" s="659">
        <v>0</v>
      </c>
      <c r="AN9" s="659">
        <v>0</v>
      </c>
      <c r="AO9" s="653">
        <v>0</v>
      </c>
    </row>
    <row r="10" spans="1:48" ht="14.95" customHeight="1" thickBot="1" x14ac:dyDescent="0.35">
      <c r="A10" s="201" t="s">
        <v>240</v>
      </c>
      <c r="B10" s="202" t="s">
        <v>231</v>
      </c>
      <c r="C10" s="296" t="s">
        <v>166</v>
      </c>
      <c r="D10" s="202" t="s">
        <v>206</v>
      </c>
      <c r="E10" s="184" t="s">
        <v>1</v>
      </c>
      <c r="F10" s="184">
        <v>65</v>
      </c>
      <c r="G10" s="184">
        <v>7</v>
      </c>
      <c r="H10" s="373">
        <v>1</v>
      </c>
      <c r="I10" s="373">
        <v>0</v>
      </c>
      <c r="J10" s="373">
        <v>11</v>
      </c>
      <c r="K10" s="373">
        <v>5</v>
      </c>
      <c r="L10" s="373">
        <v>0</v>
      </c>
      <c r="M10" s="373">
        <v>0</v>
      </c>
      <c r="N10" s="373">
        <v>1</v>
      </c>
      <c r="O10" s="373">
        <v>1</v>
      </c>
      <c r="P10" s="373">
        <v>0</v>
      </c>
      <c r="Q10" s="373">
        <v>0</v>
      </c>
      <c r="R10" s="373">
        <v>1</v>
      </c>
      <c r="S10" s="373">
        <v>4810</v>
      </c>
      <c r="T10" s="363" t="s">
        <v>676</v>
      </c>
      <c r="U10" s="297" t="s">
        <v>119</v>
      </c>
      <c r="V10" s="297" t="s">
        <v>111</v>
      </c>
      <c r="W10" s="297" t="s">
        <v>139</v>
      </c>
      <c r="X10" s="617" t="s">
        <v>252</v>
      </c>
      <c r="Y10" s="618" t="s">
        <v>132</v>
      </c>
      <c r="Z10" s="626">
        <v>1</v>
      </c>
      <c r="AA10" s="626">
        <v>1</v>
      </c>
      <c r="AB10" s="626">
        <v>0</v>
      </c>
      <c r="AC10" s="649">
        <v>0</v>
      </c>
      <c r="AD10" s="626">
        <v>0</v>
      </c>
      <c r="AE10" s="626">
        <v>0</v>
      </c>
      <c r="AF10" s="626">
        <v>0</v>
      </c>
      <c r="AG10" s="649">
        <v>0</v>
      </c>
      <c r="AH10" s="626">
        <v>0</v>
      </c>
      <c r="AI10" s="626">
        <v>0</v>
      </c>
      <c r="AJ10" s="626">
        <v>0</v>
      </c>
      <c r="AK10" s="649">
        <v>0</v>
      </c>
      <c r="AL10" s="626">
        <v>1</v>
      </c>
      <c r="AM10" s="626">
        <v>1</v>
      </c>
      <c r="AN10" s="626">
        <v>0</v>
      </c>
      <c r="AO10" s="649">
        <v>0</v>
      </c>
    </row>
    <row r="11" spans="1:48" ht="14.95" customHeight="1" thickBot="1" x14ac:dyDescent="0.35">
      <c r="A11" s="201" t="s">
        <v>234</v>
      </c>
      <c r="B11" s="202" t="s">
        <v>231</v>
      </c>
      <c r="C11" s="202" t="s">
        <v>31</v>
      </c>
      <c r="D11" s="202" t="s">
        <v>246</v>
      </c>
      <c r="E11" s="134" t="s">
        <v>1</v>
      </c>
      <c r="F11" s="184">
        <v>42</v>
      </c>
      <c r="G11" s="184">
        <v>0</v>
      </c>
      <c r="H11" s="373">
        <v>1</v>
      </c>
      <c r="I11" s="373">
        <v>0</v>
      </c>
      <c r="J11" s="373">
        <v>6</v>
      </c>
      <c r="K11" s="373">
        <v>6</v>
      </c>
      <c r="L11" s="373">
        <v>0</v>
      </c>
      <c r="M11" s="373">
        <v>0</v>
      </c>
      <c r="N11" s="373">
        <v>1</v>
      </c>
      <c r="O11" s="373">
        <v>0</v>
      </c>
      <c r="P11" s="373">
        <v>0</v>
      </c>
      <c r="Q11" s="373">
        <v>0</v>
      </c>
      <c r="R11" s="373">
        <v>0</v>
      </c>
      <c r="S11" s="373">
        <v>9803</v>
      </c>
      <c r="T11" s="363" t="s">
        <v>702</v>
      </c>
      <c r="U11" s="186" t="s">
        <v>247</v>
      </c>
      <c r="V11" s="186" t="s">
        <v>115</v>
      </c>
      <c r="W11" s="186" t="s">
        <v>111</v>
      </c>
      <c r="X11" s="186" t="s">
        <v>146</v>
      </c>
      <c r="Y11" s="618" t="s">
        <v>163</v>
      </c>
      <c r="Z11" s="626">
        <v>1</v>
      </c>
      <c r="AA11" s="626">
        <v>1</v>
      </c>
      <c r="AB11" s="626">
        <v>0</v>
      </c>
      <c r="AC11" s="649">
        <v>0</v>
      </c>
      <c r="AD11" s="626">
        <v>0</v>
      </c>
      <c r="AE11" s="626">
        <v>0</v>
      </c>
      <c r="AF11" s="626">
        <v>0</v>
      </c>
      <c r="AG11" s="649">
        <v>0</v>
      </c>
      <c r="AH11" s="626">
        <v>0</v>
      </c>
      <c r="AI11" s="626">
        <v>0</v>
      </c>
      <c r="AJ11" s="626">
        <v>0</v>
      </c>
      <c r="AK11" s="649">
        <v>0</v>
      </c>
      <c r="AL11" s="626">
        <v>1</v>
      </c>
      <c r="AM11" s="626">
        <v>1</v>
      </c>
      <c r="AN11" s="626">
        <v>0</v>
      </c>
      <c r="AO11" s="649">
        <v>0</v>
      </c>
    </row>
    <row r="12" spans="1:48" ht="14.95" customHeight="1" thickBot="1" x14ac:dyDescent="0.35">
      <c r="A12" s="201" t="s">
        <v>172</v>
      </c>
      <c r="B12" s="202" t="s">
        <v>231</v>
      </c>
      <c r="C12" s="202" t="s">
        <v>34</v>
      </c>
      <c r="D12" s="202" t="s">
        <v>241</v>
      </c>
      <c r="E12" s="184" t="s">
        <v>1</v>
      </c>
      <c r="F12" s="184">
        <v>40</v>
      </c>
      <c r="G12" s="184">
        <v>19</v>
      </c>
      <c r="H12" s="373">
        <v>1</v>
      </c>
      <c r="I12" s="373">
        <v>0</v>
      </c>
      <c r="J12" s="373">
        <v>6</v>
      </c>
      <c r="K12" s="373">
        <v>4</v>
      </c>
      <c r="L12" s="373">
        <v>0</v>
      </c>
      <c r="M12" s="373">
        <v>0</v>
      </c>
      <c r="N12" s="373">
        <v>0</v>
      </c>
      <c r="O12" s="373">
        <v>0</v>
      </c>
      <c r="P12" s="373">
        <v>0</v>
      </c>
      <c r="Q12" s="373">
        <v>0</v>
      </c>
      <c r="R12" s="373">
        <v>3</v>
      </c>
      <c r="S12" s="373">
        <v>14003</v>
      </c>
      <c r="T12" s="363" t="s">
        <v>581</v>
      </c>
      <c r="U12" s="186" t="s">
        <v>146</v>
      </c>
      <c r="V12" s="186" t="s">
        <v>141</v>
      </c>
      <c r="W12" s="186" t="s">
        <v>767</v>
      </c>
      <c r="X12" s="186" t="s">
        <v>159</v>
      </c>
      <c r="Y12" s="618" t="s">
        <v>131</v>
      </c>
      <c r="Z12" s="626">
        <v>1</v>
      </c>
      <c r="AA12" s="626">
        <v>1</v>
      </c>
      <c r="AB12" s="626">
        <v>0</v>
      </c>
      <c r="AC12" s="649">
        <v>0</v>
      </c>
      <c r="AD12" s="626">
        <v>0</v>
      </c>
      <c r="AE12" s="626">
        <v>0</v>
      </c>
      <c r="AF12" s="626">
        <v>0</v>
      </c>
      <c r="AG12" s="649">
        <v>0</v>
      </c>
      <c r="AH12" s="626">
        <v>0</v>
      </c>
      <c r="AI12" s="626">
        <v>0</v>
      </c>
      <c r="AJ12" s="626">
        <v>0</v>
      </c>
      <c r="AK12" s="649">
        <v>0</v>
      </c>
      <c r="AL12" s="626">
        <v>1</v>
      </c>
      <c r="AM12" s="626">
        <v>1</v>
      </c>
      <c r="AN12" s="626">
        <v>0</v>
      </c>
      <c r="AO12" s="649">
        <v>0</v>
      </c>
    </row>
    <row r="13" spans="1:48" ht="14.95" customHeight="1" thickBot="1" x14ac:dyDescent="0.35">
      <c r="A13" s="201" t="s">
        <v>597</v>
      </c>
      <c r="B13" s="552" t="s">
        <v>700</v>
      </c>
      <c r="C13" s="202" t="s">
        <v>29</v>
      </c>
      <c r="D13" s="202" t="s">
        <v>713</v>
      </c>
      <c r="E13" s="134" t="s">
        <v>1</v>
      </c>
      <c r="F13" s="128">
        <v>46</v>
      </c>
      <c r="G13" s="128">
        <v>5</v>
      </c>
      <c r="H13" s="652" t="s">
        <v>69</v>
      </c>
      <c r="I13" s="652" t="s">
        <v>69</v>
      </c>
      <c r="J13" s="652">
        <v>7</v>
      </c>
      <c r="K13" s="652">
        <v>4</v>
      </c>
      <c r="L13" s="652">
        <v>0</v>
      </c>
      <c r="M13" s="652">
        <v>1</v>
      </c>
      <c r="N13" s="652">
        <v>0</v>
      </c>
      <c r="O13" s="652">
        <v>0</v>
      </c>
      <c r="P13" s="652" t="s">
        <v>69</v>
      </c>
      <c r="Q13" s="652" t="s">
        <v>69</v>
      </c>
      <c r="R13" s="652">
        <v>1</v>
      </c>
      <c r="S13" s="652">
        <v>16571</v>
      </c>
      <c r="T13" s="363" t="s">
        <v>304</v>
      </c>
      <c r="U13" s="186" t="s">
        <v>247</v>
      </c>
      <c r="V13" s="186" t="s">
        <v>115</v>
      </c>
      <c r="W13" s="186" t="s">
        <v>139</v>
      </c>
      <c r="X13" s="186" t="s">
        <v>272</v>
      </c>
      <c r="Y13" s="341" t="s">
        <v>117</v>
      </c>
      <c r="Z13" s="626">
        <v>1</v>
      </c>
      <c r="AA13" s="626">
        <v>1</v>
      </c>
      <c r="AB13" s="626">
        <v>0</v>
      </c>
      <c r="AC13" s="649">
        <v>0</v>
      </c>
      <c r="AD13" s="626">
        <v>0</v>
      </c>
      <c r="AE13" s="626">
        <v>0</v>
      </c>
      <c r="AF13" s="626">
        <v>0</v>
      </c>
      <c r="AG13" s="649">
        <v>0</v>
      </c>
      <c r="AH13" s="626">
        <v>0</v>
      </c>
      <c r="AI13" s="626">
        <v>0</v>
      </c>
      <c r="AJ13" s="626">
        <v>0</v>
      </c>
      <c r="AK13" s="649">
        <v>0</v>
      </c>
      <c r="AL13" s="626">
        <v>1</v>
      </c>
      <c r="AM13" s="626">
        <v>1</v>
      </c>
      <c r="AN13" s="626">
        <v>0</v>
      </c>
      <c r="AO13" s="649">
        <v>0</v>
      </c>
    </row>
    <row r="14" spans="1:48" ht="14.95" customHeight="1" thickBot="1" x14ac:dyDescent="0.35">
      <c r="A14" s="674" t="s">
        <v>600</v>
      </c>
      <c r="B14" s="202" t="s">
        <v>803</v>
      </c>
      <c r="C14" s="675" t="s">
        <v>72</v>
      </c>
      <c r="D14" s="202" t="s">
        <v>713</v>
      </c>
      <c r="E14" s="184" t="s">
        <v>1</v>
      </c>
      <c r="F14" s="184">
        <v>34</v>
      </c>
      <c r="G14" s="184">
        <v>19</v>
      </c>
      <c r="H14" s="373" t="s">
        <v>69</v>
      </c>
      <c r="I14" s="373" t="s">
        <v>69</v>
      </c>
      <c r="J14" s="373">
        <v>5</v>
      </c>
      <c r="K14" s="373">
        <v>3</v>
      </c>
      <c r="L14" s="373">
        <v>0</v>
      </c>
      <c r="M14" s="373">
        <v>1</v>
      </c>
      <c r="N14" s="373">
        <v>0</v>
      </c>
      <c r="O14" s="373">
        <v>0</v>
      </c>
      <c r="P14" s="373" t="s">
        <v>69</v>
      </c>
      <c r="Q14" s="373" t="s">
        <v>69</v>
      </c>
      <c r="R14" s="373">
        <v>3</v>
      </c>
      <c r="S14" s="391">
        <v>24592</v>
      </c>
      <c r="T14" s="363" t="s">
        <v>825</v>
      </c>
      <c r="U14" s="186" t="s">
        <v>146</v>
      </c>
      <c r="V14" s="186" t="s">
        <v>111</v>
      </c>
      <c r="W14" s="186" t="s">
        <v>136</v>
      </c>
      <c r="X14" s="186" t="s">
        <v>119</v>
      </c>
      <c r="Y14" s="186" t="s">
        <v>159</v>
      </c>
      <c r="Z14" s="626">
        <v>1</v>
      </c>
      <c r="AA14" s="626">
        <v>1</v>
      </c>
      <c r="AB14" s="626">
        <v>0</v>
      </c>
      <c r="AC14" s="649">
        <v>0</v>
      </c>
      <c r="AD14" s="626">
        <v>0</v>
      </c>
      <c r="AE14" s="626">
        <v>0</v>
      </c>
      <c r="AF14" s="626">
        <v>0</v>
      </c>
      <c r="AG14" s="649">
        <v>0</v>
      </c>
      <c r="AH14" s="626">
        <v>0</v>
      </c>
      <c r="AI14" s="626">
        <v>0</v>
      </c>
      <c r="AJ14" s="626">
        <v>0</v>
      </c>
      <c r="AK14" s="649">
        <v>0</v>
      </c>
      <c r="AL14" s="626">
        <v>1</v>
      </c>
      <c r="AM14" s="626">
        <v>1</v>
      </c>
      <c r="AN14" s="626">
        <v>0</v>
      </c>
      <c r="AO14" s="649">
        <v>0</v>
      </c>
    </row>
    <row r="15" spans="1:48" ht="14.95" customHeight="1" thickBot="1" x14ac:dyDescent="0.3">
      <c r="A15" s="312" t="s">
        <v>602</v>
      </c>
      <c r="B15" s="167" t="s">
        <v>804</v>
      </c>
      <c r="C15" s="682" t="s">
        <v>30</v>
      </c>
      <c r="D15" s="167" t="s">
        <v>94</v>
      </c>
      <c r="E15" s="158" t="s">
        <v>3</v>
      </c>
      <c r="F15" s="158">
        <v>13</v>
      </c>
      <c r="G15" s="158">
        <v>33</v>
      </c>
      <c r="H15" s="375" t="s">
        <v>69</v>
      </c>
      <c r="I15" s="375" t="s">
        <v>69</v>
      </c>
      <c r="J15" s="375">
        <v>2</v>
      </c>
      <c r="K15" s="375">
        <v>0</v>
      </c>
      <c r="L15" s="375">
        <v>0</v>
      </c>
      <c r="M15" s="375">
        <v>1</v>
      </c>
      <c r="N15" s="375">
        <v>0</v>
      </c>
      <c r="O15" s="375">
        <v>0</v>
      </c>
      <c r="P15" s="375" t="s">
        <v>69</v>
      </c>
      <c r="Q15" s="375" t="s">
        <v>69</v>
      </c>
      <c r="R15" s="375">
        <v>5</v>
      </c>
      <c r="S15" s="625">
        <v>81885</v>
      </c>
      <c r="T15" s="168" t="s">
        <v>837</v>
      </c>
      <c r="U15" s="159" t="s">
        <v>247</v>
      </c>
      <c r="V15" s="159" t="s">
        <v>115</v>
      </c>
      <c r="W15" s="159" t="s">
        <v>136</v>
      </c>
      <c r="X15" s="159" t="s">
        <v>146</v>
      </c>
      <c r="Y15" s="159" t="s">
        <v>114</v>
      </c>
      <c r="Z15" s="659">
        <v>1</v>
      </c>
      <c r="AA15" s="659">
        <v>0</v>
      </c>
      <c r="AB15" s="659">
        <v>0</v>
      </c>
      <c r="AC15" s="653">
        <v>1</v>
      </c>
      <c r="AD15" s="659">
        <v>0</v>
      </c>
      <c r="AE15" s="659">
        <v>0</v>
      </c>
      <c r="AF15" s="659">
        <v>0</v>
      </c>
      <c r="AG15" s="653">
        <v>0</v>
      </c>
      <c r="AH15" s="659">
        <v>1</v>
      </c>
      <c r="AI15" s="659">
        <v>0</v>
      </c>
      <c r="AJ15" s="659">
        <v>0</v>
      </c>
      <c r="AK15" s="653">
        <v>1</v>
      </c>
      <c r="AL15" s="659">
        <v>0</v>
      </c>
      <c r="AM15" s="659">
        <v>0</v>
      </c>
      <c r="AN15" s="659">
        <v>0</v>
      </c>
      <c r="AO15" s="653">
        <v>0</v>
      </c>
    </row>
    <row r="16" spans="1:48" ht="14.95" customHeight="1" thickBot="1" x14ac:dyDescent="0.3">
      <c r="A16" s="104"/>
      <c r="B16" s="105"/>
      <c r="C16" s="748" t="s">
        <v>92</v>
      </c>
      <c r="D16" s="749"/>
      <c r="E16" s="750"/>
      <c r="F16" s="676">
        <f>SUM(F3:F5)</f>
        <v>98</v>
      </c>
      <c r="G16" s="676">
        <f t="shared" ref="G16:R16" si="0">SUM(G3:G5)</f>
        <v>48</v>
      </c>
      <c r="H16" s="676">
        <f t="shared" si="0"/>
        <v>3</v>
      </c>
      <c r="I16" s="676">
        <f t="shared" si="0"/>
        <v>0</v>
      </c>
      <c r="J16" s="676">
        <f t="shared" si="0"/>
        <v>16</v>
      </c>
      <c r="K16" s="676">
        <f t="shared" si="0"/>
        <v>9</v>
      </c>
      <c r="L16" s="676">
        <f t="shared" si="0"/>
        <v>0</v>
      </c>
      <c r="M16" s="676">
        <f t="shared" si="0"/>
        <v>0</v>
      </c>
      <c r="N16" s="676">
        <f t="shared" si="0"/>
        <v>1</v>
      </c>
      <c r="O16" s="676">
        <f t="shared" si="0"/>
        <v>0</v>
      </c>
      <c r="P16" s="676">
        <f t="shared" si="0"/>
        <v>1</v>
      </c>
      <c r="Q16" s="676">
        <f t="shared" si="0"/>
        <v>0</v>
      </c>
      <c r="R16" s="676">
        <f t="shared" si="0"/>
        <v>7</v>
      </c>
      <c r="T16" s="447"/>
      <c r="U16" s="447"/>
      <c r="V16" s="447"/>
      <c r="W16" s="447"/>
      <c r="X16" s="448"/>
      <c r="Y16" s="677" t="s">
        <v>92</v>
      </c>
      <c r="Z16" s="676">
        <f t="shared" ref="Z16:AO16" si="1">SUM(Z3:Z5)</f>
        <v>3</v>
      </c>
      <c r="AA16" s="676">
        <f t="shared" si="1"/>
        <v>2</v>
      </c>
      <c r="AB16" s="676">
        <f t="shared" si="1"/>
        <v>1</v>
      </c>
      <c r="AC16" s="676">
        <f t="shared" si="1"/>
        <v>0</v>
      </c>
      <c r="AD16" s="678">
        <f t="shared" si="1"/>
        <v>0</v>
      </c>
      <c r="AE16" s="678">
        <f t="shared" si="1"/>
        <v>0</v>
      </c>
      <c r="AF16" s="678">
        <f t="shared" si="1"/>
        <v>0</v>
      </c>
      <c r="AG16" s="678">
        <f t="shared" si="1"/>
        <v>0</v>
      </c>
      <c r="AH16" s="679">
        <f t="shared" si="1"/>
        <v>3</v>
      </c>
      <c r="AI16" s="679">
        <f t="shared" si="1"/>
        <v>2</v>
      </c>
      <c r="AJ16" s="679">
        <f t="shared" si="1"/>
        <v>1</v>
      </c>
      <c r="AK16" s="679">
        <f t="shared" si="1"/>
        <v>0</v>
      </c>
      <c r="AL16" s="676">
        <f t="shared" si="1"/>
        <v>0</v>
      </c>
      <c r="AM16" s="676">
        <f t="shared" si="1"/>
        <v>0</v>
      </c>
      <c r="AN16" s="676">
        <f t="shared" si="1"/>
        <v>0</v>
      </c>
      <c r="AO16" s="676">
        <f t="shared" si="1"/>
        <v>0</v>
      </c>
    </row>
    <row r="17" spans="1:41" ht="14.95" customHeight="1" thickBot="1" x14ac:dyDescent="0.3">
      <c r="A17" s="104"/>
      <c r="B17" s="105"/>
      <c r="C17" s="454" t="s">
        <v>237</v>
      </c>
      <c r="D17" s="455"/>
      <c r="E17" s="456"/>
      <c r="F17" s="457">
        <f>SUM(F10:F15)</f>
        <v>240</v>
      </c>
      <c r="G17" s="457">
        <f t="shared" ref="G17:R17" si="2">SUM(G10:G15)</f>
        <v>83</v>
      </c>
      <c r="H17" s="457">
        <f t="shared" si="2"/>
        <v>3</v>
      </c>
      <c r="I17" s="457">
        <f t="shared" si="2"/>
        <v>0</v>
      </c>
      <c r="J17" s="457">
        <f t="shared" si="2"/>
        <v>37</v>
      </c>
      <c r="K17" s="457">
        <f t="shared" si="2"/>
        <v>22</v>
      </c>
      <c r="L17" s="457">
        <f t="shared" si="2"/>
        <v>0</v>
      </c>
      <c r="M17" s="457">
        <f t="shared" si="2"/>
        <v>3</v>
      </c>
      <c r="N17" s="457">
        <f t="shared" si="2"/>
        <v>2</v>
      </c>
      <c r="O17" s="457">
        <f t="shared" si="2"/>
        <v>1</v>
      </c>
      <c r="P17" s="457">
        <f t="shared" si="2"/>
        <v>0</v>
      </c>
      <c r="Q17" s="457">
        <f t="shared" si="2"/>
        <v>0</v>
      </c>
      <c r="R17" s="457">
        <f t="shared" si="2"/>
        <v>13</v>
      </c>
      <c r="T17" s="458"/>
      <c r="U17" s="458"/>
      <c r="V17" s="458"/>
      <c r="W17" s="458"/>
      <c r="X17" s="459"/>
      <c r="Y17" s="460" t="s">
        <v>237</v>
      </c>
      <c r="Z17" s="457">
        <f t="shared" ref="Z17:AO17" si="3">SUM(Z10:Z15)</f>
        <v>6</v>
      </c>
      <c r="AA17" s="457">
        <f t="shared" si="3"/>
        <v>5</v>
      </c>
      <c r="AB17" s="457">
        <f t="shared" si="3"/>
        <v>0</v>
      </c>
      <c r="AC17" s="457">
        <f t="shared" si="3"/>
        <v>1</v>
      </c>
      <c r="AD17" s="461">
        <f t="shared" si="3"/>
        <v>0</v>
      </c>
      <c r="AE17" s="461">
        <f t="shared" si="3"/>
        <v>0</v>
      </c>
      <c r="AF17" s="461">
        <f t="shared" si="3"/>
        <v>0</v>
      </c>
      <c r="AG17" s="461">
        <f t="shared" si="3"/>
        <v>0</v>
      </c>
      <c r="AH17" s="462">
        <f t="shared" si="3"/>
        <v>1</v>
      </c>
      <c r="AI17" s="462">
        <f t="shared" si="3"/>
        <v>0</v>
      </c>
      <c r="AJ17" s="462">
        <f t="shared" si="3"/>
        <v>0</v>
      </c>
      <c r="AK17" s="462">
        <f t="shared" si="3"/>
        <v>1</v>
      </c>
      <c r="AL17" s="457">
        <f t="shared" si="3"/>
        <v>5</v>
      </c>
      <c r="AM17" s="457">
        <f t="shared" si="3"/>
        <v>5</v>
      </c>
      <c r="AN17" s="457">
        <f t="shared" si="3"/>
        <v>0</v>
      </c>
      <c r="AO17" s="457">
        <f t="shared" si="3"/>
        <v>0</v>
      </c>
    </row>
    <row r="18" spans="1:41" ht="14.95" thickBot="1" x14ac:dyDescent="0.3">
      <c r="A18" s="104"/>
      <c r="B18" s="105"/>
      <c r="C18" s="728" t="s">
        <v>70</v>
      </c>
      <c r="D18" s="729"/>
      <c r="E18" s="730"/>
      <c r="F18" s="128">
        <f>SUM(F3:F15)</f>
        <v>510</v>
      </c>
      <c r="G18" s="128">
        <f t="shared" ref="G18:R18" si="4">SUM(G3:G15)</f>
        <v>192</v>
      </c>
      <c r="H18" s="128">
        <f t="shared" si="4"/>
        <v>6</v>
      </c>
      <c r="I18" s="128">
        <f t="shared" si="4"/>
        <v>0</v>
      </c>
      <c r="J18" s="128">
        <f t="shared" si="4"/>
        <v>79</v>
      </c>
      <c r="K18" s="128">
        <f t="shared" si="4"/>
        <v>51</v>
      </c>
      <c r="L18" s="128">
        <f t="shared" si="4"/>
        <v>0</v>
      </c>
      <c r="M18" s="128">
        <f t="shared" si="4"/>
        <v>3</v>
      </c>
      <c r="N18" s="128">
        <f t="shared" si="4"/>
        <v>6</v>
      </c>
      <c r="O18" s="128">
        <f t="shared" si="4"/>
        <v>1</v>
      </c>
      <c r="P18" s="128">
        <f t="shared" si="4"/>
        <v>1</v>
      </c>
      <c r="Q18" s="128">
        <f t="shared" si="4"/>
        <v>0</v>
      </c>
      <c r="R18" s="128">
        <f t="shared" si="4"/>
        <v>29</v>
      </c>
      <c r="T18" s="197"/>
      <c r="U18" s="197"/>
      <c r="V18" s="197"/>
      <c r="W18" s="197"/>
      <c r="X18" s="12"/>
      <c r="Y18" s="133" t="s">
        <v>70</v>
      </c>
      <c r="Z18" s="128">
        <f t="shared" ref="Z18:AO18" si="5">SUM(Z3:Z15)</f>
        <v>13</v>
      </c>
      <c r="AA18" s="128">
        <f t="shared" si="5"/>
        <v>11</v>
      </c>
      <c r="AB18" s="128">
        <f t="shared" si="5"/>
        <v>1</v>
      </c>
      <c r="AC18" s="128">
        <f t="shared" si="5"/>
        <v>1</v>
      </c>
      <c r="AD18" s="126">
        <f t="shared" si="5"/>
        <v>1</v>
      </c>
      <c r="AE18" s="126">
        <f t="shared" si="5"/>
        <v>1</v>
      </c>
      <c r="AF18" s="126">
        <f t="shared" si="5"/>
        <v>0</v>
      </c>
      <c r="AG18" s="126">
        <f t="shared" si="5"/>
        <v>0</v>
      </c>
      <c r="AH18" s="127">
        <f t="shared" si="5"/>
        <v>7</v>
      </c>
      <c r="AI18" s="127">
        <f t="shared" si="5"/>
        <v>5</v>
      </c>
      <c r="AJ18" s="127">
        <f t="shared" si="5"/>
        <v>1</v>
      </c>
      <c r="AK18" s="127">
        <f t="shared" si="5"/>
        <v>1</v>
      </c>
      <c r="AL18" s="128">
        <f t="shared" si="5"/>
        <v>5</v>
      </c>
      <c r="AM18" s="128">
        <f t="shared" si="5"/>
        <v>5</v>
      </c>
      <c r="AN18" s="128">
        <f t="shared" si="5"/>
        <v>0</v>
      </c>
      <c r="AO18" s="128">
        <f t="shared" si="5"/>
        <v>0</v>
      </c>
    </row>
    <row r="19" spans="1:41" x14ac:dyDescent="0.25">
      <c r="A19" s="650"/>
    </row>
    <row r="20" spans="1:41" x14ac:dyDescent="0.25">
      <c r="A20" s="410" t="s">
        <v>380</v>
      </c>
    </row>
    <row r="21" spans="1:41" x14ac:dyDescent="0.25">
      <c r="A21" t="s">
        <v>478</v>
      </c>
    </row>
    <row r="22" spans="1:41" x14ac:dyDescent="0.25">
      <c r="A22" t="s">
        <v>542</v>
      </c>
    </row>
    <row r="23" spans="1:41" x14ac:dyDescent="0.25">
      <c r="A23" t="s">
        <v>567</v>
      </c>
    </row>
    <row r="24" spans="1:41" x14ac:dyDescent="0.25">
      <c r="A24" t="s">
        <v>808</v>
      </c>
      <c r="S24" s="73"/>
    </row>
    <row r="25" spans="1:41" ht="14.3" customHeight="1" x14ac:dyDescent="0.25">
      <c r="A25" s="727" t="s">
        <v>770</v>
      </c>
      <c r="B25" s="687"/>
      <c r="C25" s="687"/>
      <c r="D25" s="687"/>
      <c r="E25" s="687"/>
      <c r="F25" s="687"/>
      <c r="G25" s="687"/>
      <c r="H25" s="687"/>
      <c r="I25" s="687"/>
      <c r="J25" s="687"/>
      <c r="K25" s="687"/>
      <c r="L25" s="687"/>
      <c r="M25" s="687"/>
      <c r="N25" s="687"/>
      <c r="O25" s="687"/>
      <c r="P25" s="687"/>
      <c r="Q25" s="687"/>
      <c r="R25" s="687"/>
      <c r="S25" s="73"/>
    </row>
    <row r="26" spans="1:41" ht="14.3" customHeight="1" x14ac:dyDescent="0.25">
      <c r="A26" s="727" t="s">
        <v>807</v>
      </c>
      <c r="B26" s="687"/>
      <c r="C26" s="687"/>
      <c r="D26" s="687"/>
      <c r="E26" s="687"/>
      <c r="F26" s="687"/>
      <c r="G26" s="687"/>
      <c r="H26" s="687"/>
      <c r="I26" s="687"/>
      <c r="J26" s="687"/>
      <c r="K26" s="687"/>
      <c r="L26" s="687"/>
      <c r="M26" s="687"/>
      <c r="N26" s="687"/>
      <c r="O26" s="687"/>
      <c r="P26" s="687"/>
      <c r="Q26" s="687"/>
      <c r="R26" s="687"/>
      <c r="S26" s="73"/>
    </row>
    <row r="27" spans="1:41" x14ac:dyDescent="0.25">
      <c r="A27" t="s">
        <v>766</v>
      </c>
      <c r="S27" s="73"/>
    </row>
    <row r="28" spans="1:41" x14ac:dyDescent="0.25">
      <c r="A28" s="313"/>
      <c r="B28" s="73" t="s">
        <v>40</v>
      </c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</row>
    <row r="29" spans="1:41" x14ac:dyDescent="0.25">
      <c r="A29" s="314"/>
      <c r="B29" s="73" t="s">
        <v>38</v>
      </c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</row>
    <row r="30" spans="1:41" x14ac:dyDescent="0.25">
      <c r="A30" s="315"/>
      <c r="B30" s="73" t="s">
        <v>39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</row>
    <row r="31" spans="1:41" ht="16.3" x14ac:dyDescent="0.3">
      <c r="A31" s="681" t="s">
        <v>28</v>
      </c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</row>
  </sheetData>
  <mergeCells count="14">
    <mergeCell ref="AL1:AO1"/>
    <mergeCell ref="C16:E16"/>
    <mergeCell ref="A1:C1"/>
    <mergeCell ref="E1:G1"/>
    <mergeCell ref="H1:I1"/>
    <mergeCell ref="J1:M1"/>
    <mergeCell ref="N1:O1"/>
    <mergeCell ref="P1:R1"/>
    <mergeCell ref="A26:R26"/>
    <mergeCell ref="C18:E18"/>
    <mergeCell ref="Z1:AC1"/>
    <mergeCell ref="AD1:AG1"/>
    <mergeCell ref="AH1:AK1"/>
    <mergeCell ref="A25:R25"/>
  </mergeCells>
  <pageMargins left="0.7" right="0.7" top="0.75" bottom="0.75" header="0.3" footer="0.3"/>
  <pageSetup paperSize="9" orientation="portrait" r:id="rId1"/>
  <ignoredErrors>
    <ignoredError sqref="T16:Y16 C16:R16 Z16:AO16 C17:E17 T17:Y17 F18:AO18 F17:S17 Z17:AO17" formulaRange="1"/>
    <ignoredError sqref="T15" twoDigitTextYear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U32"/>
  <sheetViews>
    <sheetView zoomScaleNormal="100" workbookViewId="0">
      <pane ySplit="2" topLeftCell="A3" activePane="bottomLeft" state="frozen"/>
      <selection pane="bottomLeft" activeCell="V20" sqref="V20"/>
    </sheetView>
  </sheetViews>
  <sheetFormatPr defaultRowHeight="14.3" x14ac:dyDescent="0.25"/>
  <cols>
    <col min="1" max="1" width="7.5" style="73" customWidth="1"/>
    <col min="2" max="2" width="5.5" style="73" customWidth="1"/>
    <col min="3" max="3" width="11.5" style="73" customWidth="1"/>
    <col min="4" max="4" width="4.125" style="73" bestFit="1" customWidth="1"/>
    <col min="5" max="18" width="3.75" style="73" customWidth="1"/>
    <col min="19" max="20" width="6.25" style="73" customWidth="1"/>
    <col min="21" max="21" width="23.625" style="73" bestFit="1" customWidth="1"/>
    <col min="22" max="22" width="21.875" style="73" bestFit="1" customWidth="1"/>
    <col min="23" max="23" width="21.625" style="73" bestFit="1" customWidth="1"/>
    <col min="24" max="24" width="23.625" style="73" bestFit="1" customWidth="1"/>
    <col min="25" max="25" width="24.375" style="73" bestFit="1" customWidth="1"/>
    <col min="26" max="41" width="3.75" style="73" customWidth="1"/>
    <col min="46" max="46" width="9.875" bestFit="1" customWidth="1"/>
  </cols>
  <sheetData>
    <row r="1" spans="1:47" ht="14.95" customHeight="1" thickBot="1" x14ac:dyDescent="0.3">
      <c r="A1" s="771" t="s">
        <v>200</v>
      </c>
      <c r="B1" s="772"/>
      <c r="C1" s="772"/>
      <c r="D1" s="154"/>
      <c r="E1" s="759" t="s">
        <v>24</v>
      </c>
      <c r="F1" s="760"/>
      <c r="G1" s="761"/>
      <c r="H1" s="759" t="s">
        <v>74</v>
      </c>
      <c r="I1" s="761"/>
      <c r="J1" s="768" t="s">
        <v>6</v>
      </c>
      <c r="K1" s="769"/>
      <c r="L1" s="769"/>
      <c r="M1" s="770"/>
      <c r="N1" s="768" t="s">
        <v>7</v>
      </c>
      <c r="O1" s="770"/>
      <c r="P1" s="768" t="s">
        <v>25</v>
      </c>
      <c r="Q1" s="769"/>
      <c r="R1" s="770"/>
      <c r="S1" s="124" t="s">
        <v>8</v>
      </c>
      <c r="T1" s="124" t="s">
        <v>9</v>
      </c>
      <c r="U1" s="119" t="s">
        <v>10</v>
      </c>
      <c r="V1" s="119" t="s">
        <v>11</v>
      </c>
      <c r="W1" s="119" t="s">
        <v>109</v>
      </c>
      <c r="X1" s="119" t="s">
        <v>26</v>
      </c>
      <c r="Y1" s="119" t="s">
        <v>27</v>
      </c>
      <c r="Z1" s="762" t="s">
        <v>20</v>
      </c>
      <c r="AA1" s="763"/>
      <c r="AB1" s="763"/>
      <c r="AC1" s="764"/>
      <c r="AD1" s="762" t="s">
        <v>56</v>
      </c>
      <c r="AE1" s="763"/>
      <c r="AF1" s="763"/>
      <c r="AG1" s="764"/>
      <c r="AH1" s="762" t="s">
        <v>57</v>
      </c>
      <c r="AI1" s="763"/>
      <c r="AJ1" s="763"/>
      <c r="AK1" s="764"/>
      <c r="AL1" s="762" t="s">
        <v>58</v>
      </c>
      <c r="AM1" s="763"/>
      <c r="AN1" s="763"/>
      <c r="AO1" s="764"/>
    </row>
    <row r="2" spans="1:47" ht="14.95" customHeight="1" thickBot="1" x14ac:dyDescent="0.3">
      <c r="A2" s="120" t="s">
        <v>19</v>
      </c>
      <c r="B2" s="97" t="s">
        <v>18</v>
      </c>
      <c r="C2" s="101" t="s">
        <v>17</v>
      </c>
      <c r="D2" s="101" t="s">
        <v>37</v>
      </c>
      <c r="E2" s="121" t="s">
        <v>16</v>
      </c>
      <c r="F2" s="121" t="s">
        <v>4</v>
      </c>
      <c r="G2" s="121" t="s">
        <v>5</v>
      </c>
      <c r="H2" s="122" t="s">
        <v>12</v>
      </c>
      <c r="I2" s="122" t="s">
        <v>3</v>
      </c>
      <c r="J2" s="122" t="s">
        <v>12</v>
      </c>
      <c r="K2" s="122" t="s">
        <v>13</v>
      </c>
      <c r="L2" s="122" t="s">
        <v>2</v>
      </c>
      <c r="M2" s="122" t="s">
        <v>14</v>
      </c>
      <c r="N2" s="122" t="s">
        <v>15</v>
      </c>
      <c r="O2" s="122" t="s">
        <v>16</v>
      </c>
      <c r="P2" s="122" t="s">
        <v>21</v>
      </c>
      <c r="Q2" s="122" t="s">
        <v>22</v>
      </c>
      <c r="R2" s="122" t="s">
        <v>12</v>
      </c>
      <c r="S2" s="193"/>
      <c r="T2" s="194"/>
      <c r="U2" s="195"/>
      <c r="V2" s="193"/>
      <c r="W2" s="193"/>
      <c r="X2" s="119"/>
      <c r="Y2" s="196"/>
      <c r="Z2" s="123" t="s">
        <v>0</v>
      </c>
      <c r="AA2" s="123" t="s">
        <v>1</v>
      </c>
      <c r="AB2" s="123" t="s">
        <v>2</v>
      </c>
      <c r="AC2" s="123" t="s">
        <v>3</v>
      </c>
      <c r="AD2" s="123" t="s">
        <v>0</v>
      </c>
      <c r="AE2" s="123" t="s">
        <v>1</v>
      </c>
      <c r="AF2" s="123" t="s">
        <v>2</v>
      </c>
      <c r="AG2" s="123" t="s">
        <v>3</v>
      </c>
      <c r="AH2" s="123" t="s">
        <v>0</v>
      </c>
      <c r="AI2" s="123" t="s">
        <v>1</v>
      </c>
      <c r="AJ2" s="123" t="s">
        <v>2</v>
      </c>
      <c r="AK2" s="123" t="s">
        <v>3</v>
      </c>
      <c r="AL2" s="123" t="s">
        <v>0</v>
      </c>
      <c r="AM2" s="123" t="s">
        <v>1</v>
      </c>
      <c r="AN2" s="123" t="s">
        <v>2</v>
      </c>
      <c r="AO2" s="123" t="s">
        <v>3</v>
      </c>
      <c r="AT2" s="73" t="s">
        <v>508</v>
      </c>
    </row>
    <row r="3" spans="1:47" ht="14.95" customHeight="1" thickBot="1" x14ac:dyDescent="0.35">
      <c r="A3" s="170" t="s">
        <v>104</v>
      </c>
      <c r="B3" s="171" t="s">
        <v>41</v>
      </c>
      <c r="C3" s="171" t="s">
        <v>32</v>
      </c>
      <c r="D3" s="171" t="s">
        <v>206</v>
      </c>
      <c r="E3" s="172" t="s">
        <v>1</v>
      </c>
      <c r="F3" s="172">
        <v>38</v>
      </c>
      <c r="G3" s="172">
        <v>5</v>
      </c>
      <c r="H3" s="374">
        <v>1</v>
      </c>
      <c r="I3" s="374">
        <v>0</v>
      </c>
      <c r="J3" s="374">
        <v>6</v>
      </c>
      <c r="K3" s="374">
        <v>3</v>
      </c>
      <c r="L3" s="374">
        <v>0</v>
      </c>
      <c r="M3" s="374">
        <v>0</v>
      </c>
      <c r="N3" s="374">
        <f>-N37</f>
        <v>0</v>
      </c>
      <c r="O3" s="374">
        <v>0</v>
      </c>
      <c r="P3" s="374">
        <v>0</v>
      </c>
      <c r="Q3" s="374">
        <v>0</v>
      </c>
      <c r="R3" s="374">
        <v>1</v>
      </c>
      <c r="S3" s="173"/>
      <c r="T3" s="181" t="s">
        <v>258</v>
      </c>
      <c r="U3" s="175" t="s">
        <v>128</v>
      </c>
      <c r="V3" s="173" t="s">
        <v>160</v>
      </c>
      <c r="W3" s="173" t="s">
        <v>115</v>
      </c>
      <c r="X3" s="176" t="s">
        <v>163</v>
      </c>
      <c r="Y3" s="380" t="s">
        <v>179</v>
      </c>
      <c r="Z3" s="176">
        <v>1</v>
      </c>
      <c r="AA3" s="176">
        <v>1</v>
      </c>
      <c r="AB3" s="176">
        <v>0</v>
      </c>
      <c r="AC3" s="342">
        <v>0</v>
      </c>
      <c r="AD3" s="176">
        <v>1</v>
      </c>
      <c r="AE3" s="176">
        <v>1</v>
      </c>
      <c r="AF3" s="176">
        <v>0</v>
      </c>
      <c r="AG3" s="342">
        <v>0</v>
      </c>
      <c r="AH3" s="176">
        <v>0</v>
      </c>
      <c r="AI3" s="176">
        <v>0</v>
      </c>
      <c r="AJ3" s="176">
        <v>0</v>
      </c>
      <c r="AK3" s="342">
        <v>0</v>
      </c>
      <c r="AL3" s="176">
        <v>0</v>
      </c>
      <c r="AM3" s="176">
        <v>0</v>
      </c>
      <c r="AN3" s="176">
        <v>0</v>
      </c>
      <c r="AO3" s="342">
        <v>0</v>
      </c>
      <c r="AT3" s="515" t="s">
        <v>503</v>
      </c>
      <c r="AU3" s="516">
        <v>49</v>
      </c>
    </row>
    <row r="4" spans="1:47" ht="14.95" customHeight="1" thickBot="1" x14ac:dyDescent="0.35">
      <c r="A4" s="155" t="s">
        <v>208</v>
      </c>
      <c r="B4" s="157" t="s">
        <v>41</v>
      </c>
      <c r="C4" s="157" t="s">
        <v>31</v>
      </c>
      <c r="D4" s="157" t="s">
        <v>216</v>
      </c>
      <c r="E4" s="158" t="s">
        <v>1</v>
      </c>
      <c r="F4" s="158">
        <v>67</v>
      </c>
      <c r="G4" s="158">
        <v>12</v>
      </c>
      <c r="H4" s="375">
        <v>1</v>
      </c>
      <c r="I4" s="375">
        <v>0</v>
      </c>
      <c r="J4" s="375">
        <v>11</v>
      </c>
      <c r="K4" s="375">
        <v>6</v>
      </c>
      <c r="L4" s="375">
        <v>0</v>
      </c>
      <c r="M4" s="375">
        <v>0</v>
      </c>
      <c r="N4" s="375">
        <v>0</v>
      </c>
      <c r="O4" s="375">
        <v>0</v>
      </c>
      <c r="P4" s="375">
        <v>0</v>
      </c>
      <c r="Q4" s="375">
        <v>0</v>
      </c>
      <c r="R4" s="375">
        <v>2</v>
      </c>
      <c r="S4" s="162"/>
      <c r="T4" s="163" t="s">
        <v>274</v>
      </c>
      <c r="U4" s="164" t="s">
        <v>114</v>
      </c>
      <c r="V4" s="162" t="s">
        <v>158</v>
      </c>
      <c r="W4" s="162" t="s">
        <v>136</v>
      </c>
      <c r="X4" s="159" t="s">
        <v>119</v>
      </c>
      <c r="Y4" s="379" t="s">
        <v>131</v>
      </c>
      <c r="Z4" s="159">
        <v>1</v>
      </c>
      <c r="AA4" s="159">
        <v>1</v>
      </c>
      <c r="AB4" s="159">
        <v>0</v>
      </c>
      <c r="AC4" s="523">
        <v>0</v>
      </c>
      <c r="AD4" s="159">
        <v>0</v>
      </c>
      <c r="AE4" s="159">
        <v>0</v>
      </c>
      <c r="AF4" s="159">
        <v>0</v>
      </c>
      <c r="AG4" s="523">
        <v>0</v>
      </c>
      <c r="AH4" s="159">
        <v>1</v>
      </c>
      <c r="AI4" s="159">
        <v>1</v>
      </c>
      <c r="AJ4" s="159">
        <v>0</v>
      </c>
      <c r="AK4" s="523">
        <v>0</v>
      </c>
      <c r="AL4" s="159">
        <v>0</v>
      </c>
      <c r="AM4" s="159">
        <v>0</v>
      </c>
      <c r="AN4" s="159">
        <v>0</v>
      </c>
      <c r="AO4" s="523">
        <v>0</v>
      </c>
      <c r="AT4" s="517" t="s">
        <v>504</v>
      </c>
      <c r="AU4" s="518">
        <v>41</v>
      </c>
    </row>
    <row r="5" spans="1:47" ht="14.95" customHeight="1" thickBot="1" x14ac:dyDescent="0.35">
      <c r="A5" s="155" t="s">
        <v>212</v>
      </c>
      <c r="B5" s="157" t="s">
        <v>41</v>
      </c>
      <c r="C5" s="157" t="s">
        <v>35</v>
      </c>
      <c r="D5" s="157" t="s">
        <v>218</v>
      </c>
      <c r="E5" s="158" t="s">
        <v>1</v>
      </c>
      <c r="F5" s="158">
        <v>49</v>
      </c>
      <c r="G5" s="158">
        <v>5</v>
      </c>
      <c r="H5" s="375">
        <v>1</v>
      </c>
      <c r="I5" s="375">
        <v>0</v>
      </c>
      <c r="J5" s="375">
        <v>7</v>
      </c>
      <c r="K5" s="375">
        <v>7</v>
      </c>
      <c r="L5" s="375">
        <v>0</v>
      </c>
      <c r="M5" s="375">
        <v>0</v>
      </c>
      <c r="N5" s="375">
        <v>0</v>
      </c>
      <c r="O5" s="375">
        <v>0</v>
      </c>
      <c r="P5" s="375">
        <v>0</v>
      </c>
      <c r="Q5" s="375">
        <v>0</v>
      </c>
      <c r="R5" s="375">
        <v>1</v>
      </c>
      <c r="S5" s="162"/>
      <c r="T5" s="163" t="s">
        <v>289</v>
      </c>
      <c r="U5" s="164" t="s">
        <v>119</v>
      </c>
      <c r="V5" s="162" t="s">
        <v>139</v>
      </c>
      <c r="W5" s="164" t="s">
        <v>136</v>
      </c>
      <c r="X5" s="164" t="s">
        <v>114</v>
      </c>
      <c r="Y5" s="159" t="s">
        <v>132</v>
      </c>
      <c r="Z5" s="159">
        <v>1</v>
      </c>
      <c r="AA5" s="159">
        <v>1</v>
      </c>
      <c r="AB5" s="159">
        <v>0</v>
      </c>
      <c r="AC5" s="523">
        <v>0</v>
      </c>
      <c r="AD5" s="159">
        <v>0</v>
      </c>
      <c r="AE5" s="159">
        <v>0</v>
      </c>
      <c r="AF5" s="159">
        <v>0</v>
      </c>
      <c r="AG5" s="523">
        <v>0</v>
      </c>
      <c r="AH5" s="159">
        <v>1</v>
      </c>
      <c r="AI5" s="159">
        <v>1</v>
      </c>
      <c r="AJ5" s="159">
        <v>0</v>
      </c>
      <c r="AK5" s="523">
        <v>0</v>
      </c>
      <c r="AL5" s="159">
        <v>0</v>
      </c>
      <c r="AM5" s="159">
        <v>0</v>
      </c>
      <c r="AN5" s="159">
        <v>0</v>
      </c>
      <c r="AO5" s="523">
        <v>0</v>
      </c>
      <c r="AT5" s="517" t="s">
        <v>505</v>
      </c>
      <c r="AU5" s="518">
        <v>1</v>
      </c>
    </row>
    <row r="6" spans="1:47" ht="14.95" customHeight="1" thickBot="1" x14ac:dyDescent="0.35">
      <c r="A6" s="170" t="s">
        <v>219</v>
      </c>
      <c r="B6" s="171" t="s">
        <v>41</v>
      </c>
      <c r="C6" s="171" t="s">
        <v>34</v>
      </c>
      <c r="D6" s="171" t="s">
        <v>221</v>
      </c>
      <c r="E6" s="172" t="s">
        <v>1</v>
      </c>
      <c r="F6" s="172">
        <v>59</v>
      </c>
      <c r="G6" s="172">
        <v>7</v>
      </c>
      <c r="H6" s="374">
        <v>1</v>
      </c>
      <c r="I6" s="374">
        <v>0</v>
      </c>
      <c r="J6" s="374">
        <v>9</v>
      </c>
      <c r="K6" s="374">
        <v>7</v>
      </c>
      <c r="L6" s="374">
        <v>0</v>
      </c>
      <c r="M6" s="374">
        <v>0</v>
      </c>
      <c r="N6" s="374">
        <v>0</v>
      </c>
      <c r="O6" s="374">
        <v>0</v>
      </c>
      <c r="P6" s="374">
        <v>0</v>
      </c>
      <c r="Q6" s="374">
        <v>0</v>
      </c>
      <c r="R6" s="374">
        <v>1</v>
      </c>
      <c r="S6" s="173"/>
      <c r="T6" s="181" t="s">
        <v>294</v>
      </c>
      <c r="U6" s="175" t="s">
        <v>114</v>
      </c>
      <c r="V6" s="173" t="s">
        <v>136</v>
      </c>
      <c r="W6" s="173" t="s">
        <v>115</v>
      </c>
      <c r="X6" s="176" t="s">
        <v>131</v>
      </c>
      <c r="Y6" s="380" t="s">
        <v>132</v>
      </c>
      <c r="Z6" s="176">
        <v>1</v>
      </c>
      <c r="AA6" s="176">
        <v>1</v>
      </c>
      <c r="AB6" s="176">
        <v>0</v>
      </c>
      <c r="AC6" s="342">
        <v>0</v>
      </c>
      <c r="AD6" s="176">
        <v>1</v>
      </c>
      <c r="AE6" s="176">
        <v>1</v>
      </c>
      <c r="AF6" s="176">
        <v>0</v>
      </c>
      <c r="AG6" s="342">
        <v>0</v>
      </c>
      <c r="AH6" s="176">
        <v>0</v>
      </c>
      <c r="AI6" s="176">
        <v>0</v>
      </c>
      <c r="AJ6" s="176">
        <v>0</v>
      </c>
      <c r="AK6" s="342">
        <v>0</v>
      </c>
      <c r="AL6" s="176">
        <v>0</v>
      </c>
      <c r="AM6" s="176">
        <v>0</v>
      </c>
      <c r="AN6" s="176">
        <v>0</v>
      </c>
      <c r="AO6" s="342">
        <v>0</v>
      </c>
      <c r="AT6" s="517" t="s">
        <v>506</v>
      </c>
      <c r="AU6" s="518">
        <v>7</v>
      </c>
    </row>
    <row r="7" spans="1:47" ht="14.95" customHeight="1" thickBot="1" x14ac:dyDescent="0.35">
      <c r="A7" s="170" t="s">
        <v>222</v>
      </c>
      <c r="B7" s="171" t="s">
        <v>41</v>
      </c>
      <c r="C7" s="171" t="s">
        <v>33</v>
      </c>
      <c r="D7" s="171" t="s">
        <v>94</v>
      </c>
      <c r="E7" s="172" t="s">
        <v>1</v>
      </c>
      <c r="F7" s="172">
        <v>43</v>
      </c>
      <c r="G7" s="172">
        <v>42</v>
      </c>
      <c r="H7" s="374">
        <v>1</v>
      </c>
      <c r="I7" s="374">
        <v>0</v>
      </c>
      <c r="J7" s="374">
        <v>7</v>
      </c>
      <c r="K7" s="374">
        <v>4</v>
      </c>
      <c r="L7" s="374">
        <v>0</v>
      </c>
      <c r="M7" s="374">
        <v>0</v>
      </c>
      <c r="N7" s="374">
        <v>0</v>
      </c>
      <c r="O7" s="374">
        <v>0</v>
      </c>
      <c r="P7" s="374">
        <v>1</v>
      </c>
      <c r="Q7" s="374">
        <v>1</v>
      </c>
      <c r="R7" s="374">
        <v>6</v>
      </c>
      <c r="S7" s="173">
        <v>37573</v>
      </c>
      <c r="T7" s="181" t="s">
        <v>320</v>
      </c>
      <c r="U7" s="175" t="s">
        <v>144</v>
      </c>
      <c r="V7" s="173" t="s">
        <v>111</v>
      </c>
      <c r="W7" s="173" t="s">
        <v>115</v>
      </c>
      <c r="X7" s="176" t="s">
        <v>272</v>
      </c>
      <c r="Y7" s="176" t="s">
        <v>131</v>
      </c>
      <c r="Z7" s="176">
        <v>1</v>
      </c>
      <c r="AA7" s="176">
        <v>1</v>
      </c>
      <c r="AB7" s="176">
        <v>0</v>
      </c>
      <c r="AC7" s="342">
        <v>0</v>
      </c>
      <c r="AD7" s="176">
        <v>1</v>
      </c>
      <c r="AE7" s="176">
        <v>1</v>
      </c>
      <c r="AF7" s="176">
        <v>0</v>
      </c>
      <c r="AG7" s="342">
        <v>0</v>
      </c>
      <c r="AH7" s="176">
        <v>0</v>
      </c>
      <c r="AI7" s="176">
        <v>0</v>
      </c>
      <c r="AJ7" s="176">
        <v>0</v>
      </c>
      <c r="AK7" s="342">
        <v>0</v>
      </c>
      <c r="AL7" s="176">
        <v>0</v>
      </c>
      <c r="AM7" s="176">
        <v>0</v>
      </c>
      <c r="AN7" s="176">
        <v>0</v>
      </c>
      <c r="AO7" s="342">
        <v>0</v>
      </c>
      <c r="AT7" s="517" t="s">
        <v>507</v>
      </c>
      <c r="AU7" s="518">
        <v>1848</v>
      </c>
    </row>
    <row r="8" spans="1:47" ht="14.95" customHeight="1" thickBot="1" x14ac:dyDescent="0.35">
      <c r="A8" s="170" t="s">
        <v>546</v>
      </c>
      <c r="B8" s="171" t="s">
        <v>161</v>
      </c>
      <c r="C8" s="171" t="s">
        <v>133</v>
      </c>
      <c r="D8" s="171" t="s">
        <v>221</v>
      </c>
      <c r="E8" s="172" t="s">
        <v>1</v>
      </c>
      <c r="F8" s="172">
        <v>97</v>
      </c>
      <c r="G8" s="172">
        <v>7</v>
      </c>
      <c r="H8" s="374" t="s">
        <v>69</v>
      </c>
      <c r="I8" s="374" t="s">
        <v>69</v>
      </c>
      <c r="J8" s="374">
        <v>15</v>
      </c>
      <c r="K8" s="374">
        <v>11</v>
      </c>
      <c r="L8" s="374">
        <v>0</v>
      </c>
      <c r="M8" s="374">
        <v>0</v>
      </c>
      <c r="N8" s="374">
        <v>0</v>
      </c>
      <c r="O8" s="374">
        <v>1</v>
      </c>
      <c r="P8" s="374" t="s">
        <v>69</v>
      </c>
      <c r="Q8" s="374" t="s">
        <v>69</v>
      </c>
      <c r="R8" s="374">
        <v>1</v>
      </c>
      <c r="S8" s="173"/>
      <c r="T8" s="181" t="s">
        <v>549</v>
      </c>
      <c r="U8" s="175" t="s">
        <v>119</v>
      </c>
      <c r="V8" s="173" t="s">
        <v>139</v>
      </c>
      <c r="W8" s="173" t="s">
        <v>100</v>
      </c>
      <c r="X8" s="173" t="s">
        <v>131</v>
      </c>
      <c r="Y8" s="380" t="s">
        <v>550</v>
      </c>
      <c r="Z8" s="176">
        <v>1</v>
      </c>
      <c r="AA8" s="176">
        <v>1</v>
      </c>
      <c r="AB8" s="176">
        <v>0</v>
      </c>
      <c r="AC8" s="342">
        <v>0</v>
      </c>
      <c r="AD8" s="176">
        <v>1</v>
      </c>
      <c r="AE8" s="176">
        <v>1</v>
      </c>
      <c r="AF8" s="176">
        <v>0</v>
      </c>
      <c r="AG8" s="342">
        <v>0</v>
      </c>
      <c r="AH8" s="176">
        <v>0</v>
      </c>
      <c r="AI8" s="176">
        <v>0</v>
      </c>
      <c r="AJ8" s="176">
        <v>0</v>
      </c>
      <c r="AK8" s="342">
        <v>0</v>
      </c>
      <c r="AL8" s="176">
        <v>0</v>
      </c>
      <c r="AM8" s="176">
        <v>0</v>
      </c>
      <c r="AN8" s="176">
        <v>0</v>
      </c>
      <c r="AO8" s="342">
        <v>0</v>
      </c>
    </row>
    <row r="9" spans="1:47" ht="14.95" customHeight="1" thickBot="1" x14ac:dyDescent="0.35">
      <c r="A9" s="170" t="s">
        <v>562</v>
      </c>
      <c r="B9" s="171" t="s">
        <v>161</v>
      </c>
      <c r="C9" s="171" t="s">
        <v>33</v>
      </c>
      <c r="D9" s="171" t="s">
        <v>586</v>
      </c>
      <c r="E9" s="172" t="s">
        <v>1</v>
      </c>
      <c r="F9" s="172">
        <v>40</v>
      </c>
      <c r="G9" s="172">
        <v>6</v>
      </c>
      <c r="H9" s="374" t="s">
        <v>69</v>
      </c>
      <c r="I9" s="374" t="s">
        <v>69</v>
      </c>
      <c r="J9" s="374">
        <v>6</v>
      </c>
      <c r="K9" s="374">
        <v>5</v>
      </c>
      <c r="L9" s="374">
        <v>0</v>
      </c>
      <c r="M9" s="374">
        <v>0</v>
      </c>
      <c r="N9" s="374">
        <v>0</v>
      </c>
      <c r="O9" s="374">
        <v>0</v>
      </c>
      <c r="P9" s="374" t="s">
        <v>69</v>
      </c>
      <c r="Q9" s="374" t="s">
        <v>69</v>
      </c>
      <c r="R9" s="374">
        <v>0</v>
      </c>
      <c r="S9" s="173"/>
      <c r="T9" s="181" t="s">
        <v>589</v>
      </c>
      <c r="U9" s="175" t="s">
        <v>146</v>
      </c>
      <c r="V9" s="173" t="s">
        <v>115</v>
      </c>
      <c r="W9" s="173" t="s">
        <v>100</v>
      </c>
      <c r="X9" s="173" t="s">
        <v>114</v>
      </c>
      <c r="Y9" s="380" t="s">
        <v>131</v>
      </c>
      <c r="Z9" s="176">
        <v>1</v>
      </c>
      <c r="AA9" s="176">
        <v>1</v>
      </c>
      <c r="AB9" s="176">
        <v>0</v>
      </c>
      <c r="AC9" s="342">
        <v>0</v>
      </c>
      <c r="AD9" s="176">
        <v>0</v>
      </c>
      <c r="AE9" s="176">
        <v>0</v>
      </c>
      <c r="AF9" s="176">
        <v>0</v>
      </c>
      <c r="AG9" s="342">
        <v>0</v>
      </c>
      <c r="AH9" s="176">
        <v>1</v>
      </c>
      <c r="AI9" s="176">
        <v>1</v>
      </c>
      <c r="AJ9" s="176">
        <v>0</v>
      </c>
      <c r="AK9" s="342">
        <v>0</v>
      </c>
      <c r="AL9" s="176">
        <v>0</v>
      </c>
      <c r="AM9" s="176">
        <v>0</v>
      </c>
      <c r="AN9" s="176">
        <v>0</v>
      </c>
      <c r="AO9" s="342">
        <v>0</v>
      </c>
    </row>
    <row r="10" spans="1:47" ht="14.95" customHeight="1" thickBot="1" x14ac:dyDescent="0.35">
      <c r="A10" s="170" t="s">
        <v>232</v>
      </c>
      <c r="B10" s="171" t="s">
        <v>231</v>
      </c>
      <c r="C10" s="171" t="s">
        <v>55</v>
      </c>
      <c r="D10" s="171" t="s">
        <v>233</v>
      </c>
      <c r="E10" s="172" t="s">
        <v>1</v>
      </c>
      <c r="F10" s="172">
        <v>69</v>
      </c>
      <c r="G10" s="172">
        <v>7</v>
      </c>
      <c r="H10" s="374">
        <v>1</v>
      </c>
      <c r="I10" s="374">
        <v>0</v>
      </c>
      <c r="J10" s="374">
        <v>11</v>
      </c>
      <c r="K10" s="374">
        <v>7</v>
      </c>
      <c r="L10" s="374">
        <v>0</v>
      </c>
      <c r="M10" s="374">
        <v>0</v>
      </c>
      <c r="N10" s="374">
        <v>0</v>
      </c>
      <c r="O10" s="374">
        <v>0</v>
      </c>
      <c r="P10" s="374">
        <v>0</v>
      </c>
      <c r="Q10" s="374">
        <v>0</v>
      </c>
      <c r="R10" s="374">
        <v>1</v>
      </c>
      <c r="S10" s="173">
        <v>42723</v>
      </c>
      <c r="T10" s="181" t="s">
        <v>659</v>
      </c>
      <c r="U10" s="175" t="s">
        <v>146</v>
      </c>
      <c r="V10" s="173" t="s">
        <v>115</v>
      </c>
      <c r="W10" s="173" t="s">
        <v>141</v>
      </c>
      <c r="X10" s="173" t="s">
        <v>145</v>
      </c>
      <c r="Y10" s="380" t="s">
        <v>131</v>
      </c>
      <c r="Z10" s="176">
        <v>1</v>
      </c>
      <c r="AA10" s="176">
        <v>1</v>
      </c>
      <c r="AB10" s="176">
        <v>0</v>
      </c>
      <c r="AC10" s="342">
        <v>0</v>
      </c>
      <c r="AD10" s="176">
        <v>1</v>
      </c>
      <c r="AE10" s="176">
        <v>1</v>
      </c>
      <c r="AF10" s="176">
        <v>0</v>
      </c>
      <c r="AG10" s="342">
        <v>0</v>
      </c>
      <c r="AH10" s="176">
        <v>0</v>
      </c>
      <c r="AI10" s="176">
        <v>0</v>
      </c>
      <c r="AJ10" s="176">
        <v>0</v>
      </c>
      <c r="AK10" s="342">
        <v>0</v>
      </c>
      <c r="AL10" s="176">
        <v>0</v>
      </c>
      <c r="AM10" s="176">
        <v>0</v>
      </c>
      <c r="AN10" s="176">
        <v>0</v>
      </c>
      <c r="AO10" s="342">
        <v>0</v>
      </c>
    </row>
    <row r="11" spans="1:47" ht="14.95" customHeight="1" thickBot="1" x14ac:dyDescent="0.35">
      <c r="A11" s="170" t="s">
        <v>234</v>
      </c>
      <c r="B11" s="171" t="s">
        <v>231</v>
      </c>
      <c r="C11" s="171" t="s">
        <v>98</v>
      </c>
      <c r="D11" s="171" t="s">
        <v>235</v>
      </c>
      <c r="E11" s="172" t="s">
        <v>1</v>
      </c>
      <c r="F11" s="172">
        <v>92</v>
      </c>
      <c r="G11" s="172">
        <v>3</v>
      </c>
      <c r="H11" s="374">
        <v>1</v>
      </c>
      <c r="I11" s="374">
        <v>0</v>
      </c>
      <c r="J11" s="374">
        <v>14</v>
      </c>
      <c r="K11" s="374">
        <v>11</v>
      </c>
      <c r="L11" s="374">
        <v>0</v>
      </c>
      <c r="M11" s="374">
        <v>0</v>
      </c>
      <c r="N11" s="374">
        <v>0</v>
      </c>
      <c r="O11" s="374">
        <v>0</v>
      </c>
      <c r="P11" s="374">
        <v>0</v>
      </c>
      <c r="Q11" s="374">
        <v>0</v>
      </c>
      <c r="R11" s="374">
        <v>0</v>
      </c>
      <c r="S11" s="173">
        <v>13615</v>
      </c>
      <c r="T11" s="181" t="s">
        <v>715</v>
      </c>
      <c r="U11" s="175" t="s">
        <v>144</v>
      </c>
      <c r="V11" s="173" t="s">
        <v>136</v>
      </c>
      <c r="W11" s="173" t="s">
        <v>111</v>
      </c>
      <c r="X11" s="173" t="s">
        <v>114</v>
      </c>
      <c r="Y11" s="380" t="s">
        <v>132</v>
      </c>
      <c r="Z11" s="176">
        <v>1</v>
      </c>
      <c r="AA11" s="176">
        <v>1</v>
      </c>
      <c r="AB11" s="176">
        <v>0</v>
      </c>
      <c r="AC11" s="342">
        <v>0</v>
      </c>
      <c r="AD11" s="176">
        <v>1</v>
      </c>
      <c r="AE11" s="176">
        <v>1</v>
      </c>
      <c r="AF11" s="176">
        <v>0</v>
      </c>
      <c r="AG11" s="342">
        <v>0</v>
      </c>
      <c r="AH11" s="176">
        <v>0</v>
      </c>
      <c r="AI11" s="176">
        <v>0</v>
      </c>
      <c r="AJ11" s="176">
        <v>0</v>
      </c>
      <c r="AK11" s="342">
        <v>0</v>
      </c>
      <c r="AL11" s="176">
        <v>0</v>
      </c>
      <c r="AM11" s="176">
        <v>0</v>
      </c>
      <c r="AN11" s="176">
        <v>0</v>
      </c>
      <c r="AO11" s="342">
        <v>0</v>
      </c>
    </row>
    <row r="12" spans="1:47" ht="14.95" customHeight="1" thickBot="1" x14ac:dyDescent="0.35">
      <c r="A12" s="170" t="s">
        <v>172</v>
      </c>
      <c r="B12" s="171" t="s">
        <v>231</v>
      </c>
      <c r="C12" s="171" t="s">
        <v>29</v>
      </c>
      <c r="D12" s="171" t="s">
        <v>238</v>
      </c>
      <c r="E12" s="172" t="s">
        <v>1</v>
      </c>
      <c r="F12" s="172">
        <v>47</v>
      </c>
      <c r="G12" s="172">
        <v>7</v>
      </c>
      <c r="H12" s="374">
        <v>1</v>
      </c>
      <c r="I12" s="374">
        <v>0</v>
      </c>
      <c r="J12" s="374">
        <v>7</v>
      </c>
      <c r="K12" s="374">
        <v>6</v>
      </c>
      <c r="L12" s="374">
        <v>0</v>
      </c>
      <c r="M12" s="374">
        <v>0</v>
      </c>
      <c r="N12" s="374">
        <v>1</v>
      </c>
      <c r="O12" s="374">
        <v>0</v>
      </c>
      <c r="P12" s="374">
        <v>0</v>
      </c>
      <c r="Q12" s="374">
        <v>0</v>
      </c>
      <c r="R12" s="374">
        <v>1</v>
      </c>
      <c r="S12" s="173">
        <v>30433</v>
      </c>
      <c r="T12" s="181" t="s">
        <v>781</v>
      </c>
      <c r="U12" s="175" t="s">
        <v>119</v>
      </c>
      <c r="V12" s="173" t="s">
        <v>111</v>
      </c>
      <c r="W12" s="173" t="s">
        <v>136</v>
      </c>
      <c r="X12" s="173" t="s">
        <v>128</v>
      </c>
      <c r="Y12" s="380" t="s">
        <v>782</v>
      </c>
      <c r="Z12" s="176">
        <v>1</v>
      </c>
      <c r="AA12" s="176">
        <v>1</v>
      </c>
      <c r="AB12" s="176">
        <v>0</v>
      </c>
      <c r="AC12" s="342">
        <v>0</v>
      </c>
      <c r="AD12" s="176">
        <v>1</v>
      </c>
      <c r="AE12" s="176">
        <v>1</v>
      </c>
      <c r="AF12" s="176">
        <v>0</v>
      </c>
      <c r="AG12" s="342">
        <v>0</v>
      </c>
      <c r="AH12" s="176">
        <v>0</v>
      </c>
      <c r="AI12" s="176">
        <v>0</v>
      </c>
      <c r="AJ12" s="176">
        <v>0</v>
      </c>
      <c r="AK12" s="342">
        <v>0</v>
      </c>
      <c r="AL12" s="176">
        <v>0</v>
      </c>
      <c r="AM12" s="176">
        <v>0</v>
      </c>
      <c r="AN12" s="176">
        <v>0</v>
      </c>
      <c r="AO12" s="342">
        <v>0</v>
      </c>
    </row>
    <row r="13" spans="1:47" ht="14.95" customHeight="1" thickBot="1" x14ac:dyDescent="0.35">
      <c r="A13" s="627" t="s">
        <v>599</v>
      </c>
      <c r="B13" s="514" t="s">
        <v>700</v>
      </c>
      <c r="C13" s="628" t="s">
        <v>34</v>
      </c>
      <c r="D13" s="628" t="s">
        <v>713</v>
      </c>
      <c r="E13" s="172" t="s">
        <v>1</v>
      </c>
      <c r="F13" s="172">
        <v>40</v>
      </c>
      <c r="G13" s="172">
        <v>8</v>
      </c>
      <c r="H13" s="374" t="s">
        <v>69</v>
      </c>
      <c r="I13" s="374" t="s">
        <v>69</v>
      </c>
      <c r="J13" s="374">
        <v>6</v>
      </c>
      <c r="K13" s="374">
        <v>5</v>
      </c>
      <c r="L13" s="374">
        <v>0</v>
      </c>
      <c r="M13" s="374">
        <v>0</v>
      </c>
      <c r="N13" s="374">
        <v>0</v>
      </c>
      <c r="O13" s="374">
        <v>0</v>
      </c>
      <c r="P13" s="374" t="s">
        <v>69</v>
      </c>
      <c r="Q13" s="374" t="s">
        <v>69</v>
      </c>
      <c r="R13" s="374">
        <v>1</v>
      </c>
      <c r="S13" s="629">
        <v>25295</v>
      </c>
      <c r="T13" s="630" t="s">
        <v>481</v>
      </c>
      <c r="U13" s="629" t="s">
        <v>119</v>
      </c>
      <c r="V13" s="629" t="s">
        <v>111</v>
      </c>
      <c r="W13" s="629" t="s">
        <v>136</v>
      </c>
      <c r="X13" s="629" t="s">
        <v>114</v>
      </c>
      <c r="Y13" s="631" t="s">
        <v>132</v>
      </c>
      <c r="Z13" s="176">
        <v>1</v>
      </c>
      <c r="AA13" s="176">
        <v>1</v>
      </c>
      <c r="AB13" s="176">
        <v>0</v>
      </c>
      <c r="AC13" s="342">
        <v>0</v>
      </c>
      <c r="AD13" s="176">
        <v>1</v>
      </c>
      <c r="AE13" s="176">
        <v>1</v>
      </c>
      <c r="AF13" s="176">
        <v>0</v>
      </c>
      <c r="AG13" s="342">
        <v>0</v>
      </c>
      <c r="AH13" s="176">
        <v>0</v>
      </c>
      <c r="AI13" s="176">
        <v>0</v>
      </c>
      <c r="AJ13" s="176">
        <v>0</v>
      </c>
      <c r="AK13" s="342">
        <v>0</v>
      </c>
      <c r="AL13" s="176">
        <v>0</v>
      </c>
      <c r="AM13" s="176">
        <v>0</v>
      </c>
      <c r="AN13" s="176">
        <v>0</v>
      </c>
      <c r="AO13" s="342">
        <v>0</v>
      </c>
    </row>
    <row r="14" spans="1:47" ht="14.95" customHeight="1" thickBot="1" x14ac:dyDescent="0.35">
      <c r="A14" s="627" t="s">
        <v>601</v>
      </c>
      <c r="B14" s="514" t="s">
        <v>803</v>
      </c>
      <c r="C14" s="628" t="s">
        <v>33</v>
      </c>
      <c r="D14" s="628" t="s">
        <v>713</v>
      </c>
      <c r="E14" s="172" t="s">
        <v>1</v>
      </c>
      <c r="F14" s="172">
        <v>35</v>
      </c>
      <c r="G14" s="172">
        <v>17</v>
      </c>
      <c r="H14" s="374" t="s">
        <v>69</v>
      </c>
      <c r="I14" s="374" t="s">
        <v>69</v>
      </c>
      <c r="J14" s="374">
        <v>5</v>
      </c>
      <c r="K14" s="374">
        <v>5</v>
      </c>
      <c r="L14" s="374">
        <v>0</v>
      </c>
      <c r="M14" s="374">
        <v>0</v>
      </c>
      <c r="N14" s="374">
        <v>0</v>
      </c>
      <c r="O14" s="374">
        <v>0</v>
      </c>
      <c r="P14" s="374" t="s">
        <v>69</v>
      </c>
      <c r="Q14" s="374" t="s">
        <v>69</v>
      </c>
      <c r="R14" s="374">
        <v>3</v>
      </c>
      <c r="S14" s="629">
        <v>25478</v>
      </c>
      <c r="T14" s="630" t="s">
        <v>289</v>
      </c>
      <c r="U14" s="629" t="s">
        <v>144</v>
      </c>
      <c r="V14" s="629" t="s">
        <v>141</v>
      </c>
      <c r="W14" s="629" t="s">
        <v>139</v>
      </c>
      <c r="X14" s="629" t="s">
        <v>114</v>
      </c>
      <c r="Y14" s="631" t="s">
        <v>252</v>
      </c>
      <c r="Z14" s="176">
        <v>1</v>
      </c>
      <c r="AA14" s="176">
        <v>1</v>
      </c>
      <c r="AB14" s="176">
        <v>0</v>
      </c>
      <c r="AC14" s="342">
        <v>0</v>
      </c>
      <c r="AD14" s="176">
        <v>1</v>
      </c>
      <c r="AE14" s="176">
        <v>1</v>
      </c>
      <c r="AF14" s="176">
        <v>0</v>
      </c>
      <c r="AG14" s="342">
        <v>0</v>
      </c>
      <c r="AH14" s="176">
        <v>0</v>
      </c>
      <c r="AI14" s="176">
        <v>0</v>
      </c>
      <c r="AJ14" s="176">
        <v>0</v>
      </c>
      <c r="AK14" s="342">
        <v>0</v>
      </c>
      <c r="AL14" s="176">
        <v>0</v>
      </c>
      <c r="AM14" s="176">
        <v>0</v>
      </c>
      <c r="AN14" s="176">
        <v>0</v>
      </c>
      <c r="AO14" s="342">
        <v>0</v>
      </c>
    </row>
    <row r="15" spans="1:47" ht="14.95" customHeight="1" thickBot="1" x14ac:dyDescent="0.35">
      <c r="A15" s="627" t="s">
        <v>602</v>
      </c>
      <c r="B15" s="514" t="s">
        <v>804</v>
      </c>
      <c r="C15" s="628" t="s">
        <v>36</v>
      </c>
      <c r="D15" s="628" t="s">
        <v>94</v>
      </c>
      <c r="E15" s="172" t="s">
        <v>1</v>
      </c>
      <c r="F15" s="172">
        <v>33</v>
      </c>
      <c r="G15" s="172">
        <v>13</v>
      </c>
      <c r="H15" s="374" t="s">
        <v>69</v>
      </c>
      <c r="I15" s="374" t="s">
        <v>69</v>
      </c>
      <c r="J15" s="374">
        <v>5</v>
      </c>
      <c r="K15" s="374">
        <v>4</v>
      </c>
      <c r="L15" s="374">
        <v>0</v>
      </c>
      <c r="M15" s="374">
        <v>0</v>
      </c>
      <c r="N15" s="374">
        <v>1</v>
      </c>
      <c r="O15" s="374">
        <v>0</v>
      </c>
      <c r="P15" s="374" t="s">
        <v>69</v>
      </c>
      <c r="Q15" s="374" t="s">
        <v>69</v>
      </c>
      <c r="R15" s="374">
        <v>2</v>
      </c>
      <c r="S15" s="629">
        <v>81885</v>
      </c>
      <c r="T15" s="630" t="s">
        <v>836</v>
      </c>
      <c r="U15" s="176" t="s">
        <v>247</v>
      </c>
      <c r="V15" s="176" t="s">
        <v>115</v>
      </c>
      <c r="W15" s="176" t="s">
        <v>136</v>
      </c>
      <c r="X15" s="175" t="s">
        <v>146</v>
      </c>
      <c r="Y15" s="631" t="s">
        <v>114</v>
      </c>
      <c r="Z15" s="176">
        <v>1</v>
      </c>
      <c r="AA15" s="176">
        <v>1</v>
      </c>
      <c r="AB15" s="176">
        <v>0</v>
      </c>
      <c r="AC15" s="342">
        <v>0</v>
      </c>
      <c r="AD15" s="176">
        <v>1</v>
      </c>
      <c r="AE15" s="176">
        <v>1</v>
      </c>
      <c r="AF15" s="176">
        <v>0</v>
      </c>
      <c r="AG15" s="342">
        <v>0</v>
      </c>
      <c r="AH15" s="176">
        <v>0</v>
      </c>
      <c r="AI15" s="176">
        <v>0</v>
      </c>
      <c r="AJ15" s="176">
        <v>0</v>
      </c>
      <c r="AK15" s="342">
        <v>0</v>
      </c>
      <c r="AL15" s="176">
        <v>0</v>
      </c>
      <c r="AM15" s="176">
        <v>0</v>
      </c>
      <c r="AN15" s="176">
        <v>0</v>
      </c>
      <c r="AO15" s="342">
        <v>0</v>
      </c>
    </row>
    <row r="16" spans="1:47" ht="14.95" customHeight="1" thickBot="1" x14ac:dyDescent="0.3">
      <c r="A16" s="104"/>
      <c r="B16" s="105"/>
      <c r="C16" s="765" t="s">
        <v>71</v>
      </c>
      <c r="D16" s="766"/>
      <c r="E16" s="767"/>
      <c r="F16" s="430">
        <f>SUM(F3:F7)</f>
        <v>256</v>
      </c>
      <c r="G16" s="430">
        <f t="shared" ref="G16:R16" si="0">SUM(G3:G7)</f>
        <v>71</v>
      </c>
      <c r="H16" s="430">
        <f t="shared" si="0"/>
        <v>5</v>
      </c>
      <c r="I16" s="430">
        <f t="shared" si="0"/>
        <v>0</v>
      </c>
      <c r="J16" s="430">
        <f t="shared" si="0"/>
        <v>40</v>
      </c>
      <c r="K16" s="430">
        <f t="shared" si="0"/>
        <v>27</v>
      </c>
      <c r="L16" s="430">
        <f t="shared" si="0"/>
        <v>0</v>
      </c>
      <c r="M16" s="430">
        <f t="shared" si="0"/>
        <v>0</v>
      </c>
      <c r="N16" s="430">
        <f t="shared" si="0"/>
        <v>0</v>
      </c>
      <c r="O16" s="430">
        <f t="shared" si="0"/>
        <v>0</v>
      </c>
      <c r="P16" s="430">
        <f t="shared" si="0"/>
        <v>1</v>
      </c>
      <c r="Q16" s="430">
        <f t="shared" si="0"/>
        <v>1</v>
      </c>
      <c r="R16" s="430">
        <f t="shared" si="0"/>
        <v>11</v>
      </c>
      <c r="S16" s="425"/>
      <c r="T16" s="425"/>
      <c r="U16" s="425"/>
      <c r="V16" s="425"/>
      <c r="W16" s="425"/>
      <c r="X16" s="426"/>
      <c r="Y16" s="434" t="s">
        <v>71</v>
      </c>
      <c r="Z16" s="430">
        <f t="shared" ref="Z16:AO16" si="1">SUM(Z3:Z7)</f>
        <v>5</v>
      </c>
      <c r="AA16" s="430">
        <f t="shared" si="1"/>
        <v>5</v>
      </c>
      <c r="AB16" s="430">
        <f t="shared" si="1"/>
        <v>0</v>
      </c>
      <c r="AC16" s="430">
        <f t="shared" si="1"/>
        <v>0</v>
      </c>
      <c r="AD16" s="432">
        <f t="shared" si="1"/>
        <v>3</v>
      </c>
      <c r="AE16" s="432">
        <f t="shared" si="1"/>
        <v>3</v>
      </c>
      <c r="AF16" s="432">
        <f t="shared" si="1"/>
        <v>0</v>
      </c>
      <c r="AG16" s="432">
        <f t="shared" si="1"/>
        <v>0</v>
      </c>
      <c r="AH16" s="433">
        <f t="shared" si="1"/>
        <v>2</v>
      </c>
      <c r="AI16" s="433">
        <f t="shared" si="1"/>
        <v>2</v>
      </c>
      <c r="AJ16" s="433">
        <f t="shared" si="1"/>
        <v>0</v>
      </c>
      <c r="AK16" s="433">
        <f t="shared" si="1"/>
        <v>0</v>
      </c>
      <c r="AL16" s="430">
        <f t="shared" si="1"/>
        <v>0</v>
      </c>
      <c r="AM16" s="430">
        <f t="shared" si="1"/>
        <v>0</v>
      </c>
      <c r="AN16" s="430">
        <f t="shared" si="1"/>
        <v>0</v>
      </c>
      <c r="AO16" s="430">
        <f t="shared" si="1"/>
        <v>0</v>
      </c>
    </row>
    <row r="17" spans="1:41" ht="14.95" customHeight="1" thickBot="1" x14ac:dyDescent="0.3">
      <c r="A17" s="104"/>
      <c r="B17" s="105"/>
      <c r="C17" s="454" t="s">
        <v>237</v>
      </c>
      <c r="D17" s="455"/>
      <c r="E17" s="456"/>
      <c r="F17" s="457">
        <f>SUM(F10:F15)</f>
        <v>316</v>
      </c>
      <c r="G17" s="457">
        <f t="shared" ref="G17:R17" si="2">SUM(G10:G15)</f>
        <v>55</v>
      </c>
      <c r="H17" s="457">
        <f t="shared" si="2"/>
        <v>3</v>
      </c>
      <c r="I17" s="457">
        <f t="shared" si="2"/>
        <v>0</v>
      </c>
      <c r="J17" s="457">
        <f t="shared" si="2"/>
        <v>48</v>
      </c>
      <c r="K17" s="457">
        <f t="shared" si="2"/>
        <v>38</v>
      </c>
      <c r="L17" s="457">
        <f t="shared" si="2"/>
        <v>0</v>
      </c>
      <c r="M17" s="457">
        <f t="shared" si="2"/>
        <v>0</v>
      </c>
      <c r="N17" s="457">
        <f t="shared" si="2"/>
        <v>2</v>
      </c>
      <c r="O17" s="457">
        <f t="shared" si="2"/>
        <v>0</v>
      </c>
      <c r="P17" s="457">
        <f t="shared" si="2"/>
        <v>0</v>
      </c>
      <c r="Q17" s="457">
        <f t="shared" si="2"/>
        <v>0</v>
      </c>
      <c r="R17" s="457">
        <f t="shared" si="2"/>
        <v>8</v>
      </c>
      <c r="S17" s="458"/>
      <c r="T17" s="458"/>
      <c r="U17" s="458"/>
      <c r="V17" s="458"/>
      <c r="W17" s="458"/>
      <c r="X17" s="459"/>
      <c r="Y17" s="460" t="s">
        <v>237</v>
      </c>
      <c r="Z17" s="457">
        <f t="shared" ref="Z17:AO17" si="3">SUM(Z10:Z15)</f>
        <v>6</v>
      </c>
      <c r="AA17" s="457">
        <f t="shared" si="3"/>
        <v>6</v>
      </c>
      <c r="AB17" s="457">
        <f t="shared" si="3"/>
        <v>0</v>
      </c>
      <c r="AC17" s="457">
        <f t="shared" si="3"/>
        <v>0</v>
      </c>
      <c r="AD17" s="461">
        <f t="shared" si="3"/>
        <v>6</v>
      </c>
      <c r="AE17" s="461">
        <f t="shared" si="3"/>
        <v>6</v>
      </c>
      <c r="AF17" s="461">
        <f t="shared" si="3"/>
        <v>0</v>
      </c>
      <c r="AG17" s="461">
        <f t="shared" si="3"/>
        <v>0</v>
      </c>
      <c r="AH17" s="462">
        <f t="shared" si="3"/>
        <v>0</v>
      </c>
      <c r="AI17" s="462">
        <f t="shared" si="3"/>
        <v>0</v>
      </c>
      <c r="AJ17" s="462">
        <f t="shared" si="3"/>
        <v>0</v>
      </c>
      <c r="AK17" s="462">
        <f t="shared" si="3"/>
        <v>0</v>
      </c>
      <c r="AL17" s="457">
        <f t="shared" si="3"/>
        <v>0</v>
      </c>
      <c r="AM17" s="457">
        <f t="shared" si="3"/>
        <v>0</v>
      </c>
      <c r="AN17" s="457">
        <f t="shared" si="3"/>
        <v>0</v>
      </c>
      <c r="AO17" s="457">
        <f t="shared" si="3"/>
        <v>0</v>
      </c>
    </row>
    <row r="18" spans="1:41" ht="14.95" customHeight="1" thickBot="1" x14ac:dyDescent="0.3">
      <c r="A18" s="104"/>
      <c r="B18" s="105"/>
      <c r="C18" s="728" t="s">
        <v>70</v>
      </c>
      <c r="D18" s="729"/>
      <c r="E18" s="730"/>
      <c r="F18" s="128">
        <f>SUM(F3:F15)</f>
        <v>709</v>
      </c>
      <c r="G18" s="128">
        <f t="shared" ref="G18:R18" si="4">SUM(G3:G15)</f>
        <v>139</v>
      </c>
      <c r="H18" s="128">
        <f t="shared" si="4"/>
        <v>8</v>
      </c>
      <c r="I18" s="128">
        <f t="shared" si="4"/>
        <v>0</v>
      </c>
      <c r="J18" s="128">
        <f t="shared" si="4"/>
        <v>109</v>
      </c>
      <c r="K18" s="128">
        <f t="shared" si="4"/>
        <v>81</v>
      </c>
      <c r="L18" s="128">
        <f t="shared" si="4"/>
        <v>0</v>
      </c>
      <c r="M18" s="128">
        <f t="shared" si="4"/>
        <v>0</v>
      </c>
      <c r="N18" s="128">
        <f t="shared" si="4"/>
        <v>2</v>
      </c>
      <c r="O18" s="128">
        <f t="shared" si="4"/>
        <v>1</v>
      </c>
      <c r="P18" s="128">
        <f t="shared" si="4"/>
        <v>1</v>
      </c>
      <c r="Q18" s="128">
        <f t="shared" si="4"/>
        <v>1</v>
      </c>
      <c r="R18" s="128">
        <f t="shared" si="4"/>
        <v>20</v>
      </c>
      <c r="S18" s="197"/>
      <c r="T18" s="197"/>
      <c r="U18" s="197"/>
      <c r="V18" s="197"/>
      <c r="W18" s="197"/>
      <c r="X18" s="12"/>
      <c r="Y18" s="133" t="s">
        <v>70</v>
      </c>
      <c r="Z18" s="128">
        <f t="shared" ref="Z18:AO18" si="5">SUM(Z3:Z15)</f>
        <v>13</v>
      </c>
      <c r="AA18" s="128">
        <f t="shared" si="5"/>
        <v>13</v>
      </c>
      <c r="AB18" s="128">
        <f t="shared" si="5"/>
        <v>0</v>
      </c>
      <c r="AC18" s="128">
        <f t="shared" si="5"/>
        <v>0</v>
      </c>
      <c r="AD18" s="126">
        <f t="shared" si="5"/>
        <v>10</v>
      </c>
      <c r="AE18" s="126">
        <f t="shared" si="5"/>
        <v>10</v>
      </c>
      <c r="AF18" s="126">
        <f t="shared" si="5"/>
        <v>0</v>
      </c>
      <c r="AG18" s="126">
        <f t="shared" si="5"/>
        <v>0</v>
      </c>
      <c r="AH18" s="127">
        <f t="shared" si="5"/>
        <v>3</v>
      </c>
      <c r="AI18" s="127">
        <f t="shared" si="5"/>
        <v>3</v>
      </c>
      <c r="AJ18" s="127">
        <f t="shared" si="5"/>
        <v>0</v>
      </c>
      <c r="AK18" s="127">
        <f t="shared" si="5"/>
        <v>0</v>
      </c>
      <c r="AL18" s="128">
        <f t="shared" si="5"/>
        <v>0</v>
      </c>
      <c r="AM18" s="128">
        <f t="shared" si="5"/>
        <v>0</v>
      </c>
      <c r="AN18" s="128">
        <f t="shared" si="5"/>
        <v>0</v>
      </c>
      <c r="AO18" s="128">
        <f t="shared" si="5"/>
        <v>0</v>
      </c>
    </row>
    <row r="19" spans="1:41" ht="14.95" customHeight="1" x14ac:dyDescent="0.25">
      <c r="A19" s="727" t="s">
        <v>53</v>
      </c>
      <c r="B19" s="687"/>
      <c r="C19" s="687"/>
      <c r="D19" s="687"/>
      <c r="E19" s="687"/>
      <c r="F19" s="687"/>
      <c r="G19" s="687"/>
      <c r="H19" s="687"/>
      <c r="I19" s="687"/>
      <c r="J19" s="687"/>
      <c r="K19" s="687"/>
      <c r="L19" s="687"/>
      <c r="M19" s="687"/>
      <c r="N19" s="687"/>
      <c r="O19" s="687"/>
      <c r="P19" s="687"/>
      <c r="Q19" s="687"/>
      <c r="R19" s="687"/>
      <c r="S19" s="687"/>
      <c r="T19" s="687"/>
      <c r="U19" s="687"/>
      <c r="V19" s="687"/>
      <c r="W19" s="687"/>
      <c r="X19" s="687"/>
      <c r="Y19" s="687"/>
      <c r="Z19" s="687"/>
      <c r="AA19" s="687"/>
      <c r="AB19" s="687"/>
      <c r="AC19" s="687"/>
      <c r="AD19" s="687"/>
      <c r="AE19" s="687"/>
      <c r="AF19" s="687"/>
      <c r="AG19" s="687"/>
      <c r="AH19" s="687"/>
      <c r="AI19" s="687"/>
      <c r="AJ19" s="687"/>
      <c r="AK19" s="687"/>
      <c r="AL19" s="687"/>
      <c r="AM19" s="687"/>
      <c r="AN19" s="687"/>
      <c r="AO19" s="687"/>
    </row>
    <row r="20" spans="1:41" ht="14.95" customHeight="1" x14ac:dyDescent="0.25">
      <c r="A20" s="335" t="s">
        <v>217</v>
      </c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</row>
    <row r="21" spans="1:41" ht="14.95" customHeight="1" x14ac:dyDescent="0.25">
      <c r="A21" t="s">
        <v>552</v>
      </c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</row>
    <row r="22" spans="1:41" ht="14.95" customHeight="1" x14ac:dyDescent="0.25">
      <c r="A22" t="s">
        <v>587</v>
      </c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</row>
    <row r="23" spans="1:41" ht="14.95" customHeight="1" x14ac:dyDescent="0.25">
      <c r="A23" t="s">
        <v>590</v>
      </c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</row>
    <row r="24" spans="1:41" ht="14.95" customHeight="1" x14ac:dyDescent="0.25">
      <c r="A24" t="s">
        <v>714</v>
      </c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</row>
    <row r="25" spans="1:41" ht="14.95" customHeight="1" x14ac:dyDescent="0.25">
      <c r="A25" s="727" t="s">
        <v>795</v>
      </c>
      <c r="B25" s="687"/>
      <c r="C25" s="687"/>
      <c r="D25" s="687"/>
      <c r="E25" s="687"/>
      <c r="F25" s="687"/>
      <c r="G25" s="687"/>
      <c r="H25" s="687"/>
      <c r="I25" s="687"/>
      <c r="J25" s="687"/>
      <c r="K25" s="687"/>
      <c r="L25" s="687"/>
      <c r="M25" s="687"/>
      <c r="N25" s="687"/>
      <c r="O25" s="687"/>
      <c r="P25" s="687"/>
      <c r="Q25" s="687"/>
      <c r="R25" s="687"/>
      <c r="S25" s="687"/>
      <c r="T25" s="687"/>
      <c r="U25" s="687"/>
      <c r="V25" s="687"/>
      <c r="W25" s="687"/>
      <c r="X25" s="687"/>
      <c r="Y25" s="687"/>
      <c r="Z25" s="687"/>
      <c r="AA25" s="687"/>
      <c r="AB25" s="687"/>
      <c r="AC25" s="687"/>
      <c r="AD25" s="687"/>
      <c r="AE25" s="687"/>
      <c r="AF25" s="687"/>
      <c r="AG25" s="687"/>
      <c r="AH25" s="687"/>
      <c r="AI25" s="687"/>
      <c r="AJ25" s="687"/>
      <c r="AK25" s="687"/>
      <c r="AL25" s="687"/>
      <c r="AM25" s="687"/>
      <c r="AN25" s="687"/>
      <c r="AO25" s="687"/>
    </row>
    <row r="26" spans="1:41" ht="14.95" customHeight="1" x14ac:dyDescent="0.25">
      <c r="A26" t="s">
        <v>658</v>
      </c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</row>
    <row r="27" spans="1:41" ht="14.95" customHeight="1" x14ac:dyDescent="0.25">
      <c r="A27" t="s">
        <v>821</v>
      </c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</row>
    <row r="28" spans="1:41" ht="14.95" customHeight="1" x14ac:dyDescent="0.25">
      <c r="A28" t="s">
        <v>257</v>
      </c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</row>
    <row r="29" spans="1:41" ht="14.95" customHeight="1" x14ac:dyDescent="0.25">
      <c r="A29" s="313"/>
      <c r="B29" s="73" t="s">
        <v>40</v>
      </c>
    </row>
    <row r="30" spans="1:41" ht="14.95" customHeight="1" x14ac:dyDescent="0.25">
      <c r="A30" s="314"/>
      <c r="B30" s="73" t="s">
        <v>38</v>
      </c>
    </row>
    <row r="31" spans="1:41" x14ac:dyDescent="0.25">
      <c r="A31" s="315"/>
      <c r="B31" s="73" t="s">
        <v>39</v>
      </c>
    </row>
    <row r="32" spans="1:41" ht="16.3" x14ac:dyDescent="0.3">
      <c r="A32" s="681" t="s">
        <v>28</v>
      </c>
    </row>
  </sheetData>
  <mergeCells count="14">
    <mergeCell ref="A25:AO25"/>
    <mergeCell ref="E1:G1"/>
    <mergeCell ref="H1:I1"/>
    <mergeCell ref="A19:AO19"/>
    <mergeCell ref="Z1:AC1"/>
    <mergeCell ref="AD1:AG1"/>
    <mergeCell ref="AH1:AK1"/>
    <mergeCell ref="AL1:AO1"/>
    <mergeCell ref="C16:E16"/>
    <mergeCell ref="P1:R1"/>
    <mergeCell ref="C18:E18"/>
    <mergeCell ref="J1:M1"/>
    <mergeCell ref="N1:O1"/>
    <mergeCell ref="A1:C1"/>
  </mergeCells>
  <pageMargins left="0.7" right="0.7" top="0.75" bottom="0.75" header="0.3" footer="0.3"/>
  <pageSetup paperSize="9" orientation="portrait" r:id="rId1"/>
  <ignoredErrors>
    <ignoredError sqref="C16:G16 S16:Y16 J16:R16 Z16:AO16 S17:Y17 C17:R17 Z17:AO17" formulaRange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670E3-2EB6-4729-8DEA-491A8AA8D143}">
  <dimension ref="A1:AV21"/>
  <sheetViews>
    <sheetView zoomScaleNormal="100" workbookViewId="0">
      <selection activeCell="A21" sqref="A21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5" bestFit="1" customWidth="1"/>
    <col min="5" max="18" width="3.75" customWidth="1"/>
    <col min="19" max="19" width="6.625" customWidth="1"/>
    <col min="20" max="20" width="6.25" customWidth="1"/>
    <col min="21" max="21" width="21" bestFit="1" customWidth="1"/>
    <col min="22" max="23" width="21.875" bestFit="1" customWidth="1"/>
    <col min="24" max="24" width="19.5" bestFit="1" customWidth="1"/>
    <col min="25" max="25" width="24.375" bestFit="1" customWidth="1"/>
    <col min="26" max="41" width="3.75" customWidth="1"/>
    <col min="47" max="47" width="9.875" bestFit="1" customWidth="1"/>
  </cols>
  <sheetData>
    <row r="1" spans="1:48" ht="14.95" customHeight="1" thickBot="1" x14ac:dyDescent="0.3">
      <c r="A1" s="779" t="s">
        <v>336</v>
      </c>
      <c r="B1" s="780"/>
      <c r="C1" s="780"/>
      <c r="D1" s="218"/>
      <c r="E1" s="781" t="s">
        <v>24</v>
      </c>
      <c r="F1" s="782"/>
      <c r="G1" s="783"/>
      <c r="H1" s="781" t="s">
        <v>74</v>
      </c>
      <c r="I1" s="783"/>
      <c r="J1" s="784" t="s">
        <v>6</v>
      </c>
      <c r="K1" s="785"/>
      <c r="L1" s="785"/>
      <c r="M1" s="786"/>
      <c r="N1" s="784" t="s">
        <v>7</v>
      </c>
      <c r="O1" s="786"/>
      <c r="P1" s="784" t="s">
        <v>25</v>
      </c>
      <c r="Q1" s="785"/>
      <c r="R1" s="786"/>
      <c r="S1" s="550" t="s">
        <v>8</v>
      </c>
      <c r="T1" s="219" t="s">
        <v>9</v>
      </c>
      <c r="U1" s="220" t="s">
        <v>10</v>
      </c>
      <c r="V1" s="220" t="s">
        <v>11</v>
      </c>
      <c r="W1" s="220" t="s">
        <v>109</v>
      </c>
      <c r="X1" s="220" t="s">
        <v>26</v>
      </c>
      <c r="Y1" s="220" t="s">
        <v>27</v>
      </c>
      <c r="Z1" s="773" t="s">
        <v>20</v>
      </c>
      <c r="AA1" s="774"/>
      <c r="AB1" s="774"/>
      <c r="AC1" s="775"/>
      <c r="AD1" s="773" t="s">
        <v>56</v>
      </c>
      <c r="AE1" s="774"/>
      <c r="AF1" s="774"/>
      <c r="AG1" s="775"/>
      <c r="AH1" s="773" t="s">
        <v>57</v>
      </c>
      <c r="AI1" s="774"/>
      <c r="AJ1" s="774"/>
      <c r="AK1" s="775"/>
      <c r="AL1" s="773" t="s">
        <v>58</v>
      </c>
      <c r="AM1" s="774"/>
      <c r="AN1" s="774"/>
      <c r="AO1" s="775"/>
    </row>
    <row r="2" spans="1:48" ht="14.95" customHeight="1" thickBot="1" x14ac:dyDescent="0.3">
      <c r="A2" s="221" t="s">
        <v>19</v>
      </c>
      <c r="B2" s="222" t="s">
        <v>18</v>
      </c>
      <c r="C2" s="223" t="s">
        <v>17</v>
      </c>
      <c r="D2" s="223" t="s">
        <v>37</v>
      </c>
      <c r="E2" s="224" t="s">
        <v>16</v>
      </c>
      <c r="F2" s="224" t="s">
        <v>4</v>
      </c>
      <c r="G2" s="224" t="s">
        <v>5</v>
      </c>
      <c r="H2" s="225" t="s">
        <v>12</v>
      </c>
      <c r="I2" s="225" t="s">
        <v>3</v>
      </c>
      <c r="J2" s="225" t="s">
        <v>12</v>
      </c>
      <c r="K2" s="225" t="s">
        <v>13</v>
      </c>
      <c r="L2" s="225" t="s">
        <v>2</v>
      </c>
      <c r="M2" s="225" t="s">
        <v>14</v>
      </c>
      <c r="N2" s="225" t="s">
        <v>15</v>
      </c>
      <c r="O2" s="225" t="s">
        <v>16</v>
      </c>
      <c r="P2" s="225" t="s">
        <v>21</v>
      </c>
      <c r="Q2" s="225" t="s">
        <v>22</v>
      </c>
      <c r="R2" s="225" t="s">
        <v>12</v>
      </c>
      <c r="S2" s="641"/>
      <c r="T2" s="227"/>
      <c r="U2" s="228"/>
      <c r="V2" s="226"/>
      <c r="W2" s="226"/>
      <c r="X2" s="220"/>
      <c r="Y2" s="395"/>
      <c r="Z2" s="229" t="s">
        <v>0</v>
      </c>
      <c r="AA2" s="229" t="s">
        <v>1</v>
      </c>
      <c r="AB2" s="229" t="s">
        <v>2</v>
      </c>
      <c r="AC2" s="229" t="s">
        <v>3</v>
      </c>
      <c r="AD2" s="229" t="s">
        <v>0</v>
      </c>
      <c r="AE2" s="229" t="s">
        <v>1</v>
      </c>
      <c r="AF2" s="229" t="s">
        <v>2</v>
      </c>
      <c r="AG2" s="229" t="s">
        <v>3</v>
      </c>
      <c r="AH2" s="229" t="s">
        <v>0</v>
      </c>
      <c r="AI2" s="229" t="s">
        <v>1</v>
      </c>
      <c r="AJ2" s="229" t="s">
        <v>2</v>
      </c>
      <c r="AK2" s="229" t="s">
        <v>3</v>
      </c>
      <c r="AL2" s="229" t="s">
        <v>0</v>
      </c>
      <c r="AM2" s="229" t="s">
        <v>1</v>
      </c>
      <c r="AN2" s="229" t="s">
        <v>2</v>
      </c>
      <c r="AO2" s="229" t="s">
        <v>3</v>
      </c>
      <c r="AU2" s="73" t="s">
        <v>237</v>
      </c>
    </row>
    <row r="3" spans="1:48" ht="14.95" customHeight="1" thickBot="1" x14ac:dyDescent="0.3">
      <c r="A3" s="170" t="s">
        <v>337</v>
      </c>
      <c r="B3" s="171" t="s">
        <v>344</v>
      </c>
      <c r="C3" s="171" t="s">
        <v>29</v>
      </c>
      <c r="D3" s="171" t="s">
        <v>165</v>
      </c>
      <c r="E3" s="172" t="s">
        <v>3</v>
      </c>
      <c r="F3" s="172">
        <v>7</v>
      </c>
      <c r="G3" s="172">
        <v>43</v>
      </c>
      <c r="H3" s="374" t="s">
        <v>69</v>
      </c>
      <c r="I3" s="374" t="s">
        <v>69</v>
      </c>
      <c r="J3" s="374">
        <v>1</v>
      </c>
      <c r="K3" s="374">
        <v>1</v>
      </c>
      <c r="L3" s="374">
        <v>0</v>
      </c>
      <c r="M3" s="374">
        <v>0</v>
      </c>
      <c r="N3" s="374">
        <v>1</v>
      </c>
      <c r="O3" s="374">
        <v>0</v>
      </c>
      <c r="P3" s="374" t="s">
        <v>69</v>
      </c>
      <c r="Q3" s="374" t="s">
        <v>69</v>
      </c>
      <c r="R3" s="374">
        <v>7</v>
      </c>
      <c r="S3" s="639"/>
      <c r="T3" s="174" t="s">
        <v>338</v>
      </c>
      <c r="U3" s="175" t="s">
        <v>145</v>
      </c>
      <c r="V3" s="173" t="s">
        <v>160</v>
      </c>
      <c r="W3" s="173" t="s">
        <v>100</v>
      </c>
      <c r="X3" s="176" t="s">
        <v>339</v>
      </c>
      <c r="Y3" s="380" t="s">
        <v>340</v>
      </c>
      <c r="Z3" s="176">
        <v>1</v>
      </c>
      <c r="AA3" s="176">
        <v>0</v>
      </c>
      <c r="AB3" s="176">
        <v>0</v>
      </c>
      <c r="AC3" s="342">
        <v>1</v>
      </c>
      <c r="AD3" s="176">
        <v>1</v>
      </c>
      <c r="AE3" s="176">
        <v>0</v>
      </c>
      <c r="AF3" s="176">
        <v>0</v>
      </c>
      <c r="AG3" s="342">
        <v>1</v>
      </c>
      <c r="AH3" s="176">
        <v>0</v>
      </c>
      <c r="AI3" s="176">
        <v>0</v>
      </c>
      <c r="AJ3" s="176">
        <v>0</v>
      </c>
      <c r="AK3" s="342">
        <v>0</v>
      </c>
      <c r="AL3" s="176">
        <v>0</v>
      </c>
      <c r="AM3" s="176">
        <v>0</v>
      </c>
      <c r="AN3" s="176">
        <v>0</v>
      </c>
      <c r="AO3" s="342">
        <v>0</v>
      </c>
      <c r="AU3" s="515" t="s">
        <v>503</v>
      </c>
      <c r="AV3" s="49">
        <v>6</v>
      </c>
    </row>
    <row r="4" spans="1:48" ht="14.95" customHeight="1" thickBot="1" x14ac:dyDescent="0.35">
      <c r="A4" s="170" t="s">
        <v>427</v>
      </c>
      <c r="B4" s="171" t="s">
        <v>428</v>
      </c>
      <c r="C4" s="171" t="s">
        <v>415</v>
      </c>
      <c r="D4" s="171" t="s">
        <v>429</v>
      </c>
      <c r="E4" s="172" t="s">
        <v>1</v>
      </c>
      <c r="F4" s="172">
        <v>59</v>
      </c>
      <c r="G4" s="172">
        <v>5</v>
      </c>
      <c r="H4" s="374">
        <v>1</v>
      </c>
      <c r="I4" s="374">
        <v>0</v>
      </c>
      <c r="J4" s="374">
        <v>11</v>
      </c>
      <c r="K4" s="374">
        <v>2</v>
      </c>
      <c r="L4" s="374">
        <v>0</v>
      </c>
      <c r="M4" s="374">
        <v>0</v>
      </c>
      <c r="N4" s="374">
        <v>0</v>
      </c>
      <c r="O4" s="374">
        <v>0</v>
      </c>
      <c r="P4" s="374">
        <v>0</v>
      </c>
      <c r="Q4" s="374">
        <v>0</v>
      </c>
      <c r="R4" s="374">
        <v>1</v>
      </c>
      <c r="S4" s="639"/>
      <c r="T4" s="181" t="s">
        <v>430</v>
      </c>
      <c r="U4" s="175" t="s">
        <v>431</v>
      </c>
      <c r="V4" s="173" t="s">
        <v>100</v>
      </c>
      <c r="W4" s="173" t="s">
        <v>100</v>
      </c>
      <c r="X4" s="176" t="s">
        <v>432</v>
      </c>
      <c r="Y4" s="380" t="s">
        <v>433</v>
      </c>
      <c r="Z4" s="176">
        <v>1</v>
      </c>
      <c r="AA4" s="176">
        <v>1</v>
      </c>
      <c r="AB4" s="176">
        <v>0</v>
      </c>
      <c r="AC4" s="342">
        <v>0</v>
      </c>
      <c r="AD4" s="176">
        <v>1</v>
      </c>
      <c r="AE4" s="176">
        <v>1</v>
      </c>
      <c r="AF4" s="176">
        <v>0</v>
      </c>
      <c r="AG4" s="342">
        <v>0</v>
      </c>
      <c r="AH4" s="176">
        <v>0</v>
      </c>
      <c r="AI4" s="176">
        <v>0</v>
      </c>
      <c r="AJ4" s="176">
        <v>0</v>
      </c>
      <c r="AK4" s="342">
        <v>0</v>
      </c>
      <c r="AL4" s="176">
        <v>0</v>
      </c>
      <c r="AM4" s="176">
        <v>0</v>
      </c>
      <c r="AN4" s="176">
        <v>0</v>
      </c>
      <c r="AO4" s="342">
        <v>0</v>
      </c>
      <c r="AU4" s="517" t="s">
        <v>504</v>
      </c>
      <c r="AV4" s="619">
        <v>2</v>
      </c>
    </row>
    <row r="5" spans="1:48" ht="14.95" customHeight="1" thickBot="1" x14ac:dyDescent="0.35">
      <c r="A5" s="170" t="s">
        <v>445</v>
      </c>
      <c r="B5" s="171" t="s">
        <v>428</v>
      </c>
      <c r="C5" s="171" t="s">
        <v>98</v>
      </c>
      <c r="D5" s="171" t="s">
        <v>429</v>
      </c>
      <c r="E5" s="172" t="s">
        <v>1</v>
      </c>
      <c r="F5" s="172">
        <v>24</v>
      </c>
      <c r="G5" s="172">
        <v>20</v>
      </c>
      <c r="H5" s="374">
        <v>1</v>
      </c>
      <c r="I5" s="374">
        <v>0</v>
      </c>
      <c r="J5" s="374">
        <v>4</v>
      </c>
      <c r="K5" s="374">
        <v>2</v>
      </c>
      <c r="L5" s="374">
        <v>0</v>
      </c>
      <c r="M5" s="374">
        <v>0</v>
      </c>
      <c r="N5" s="374">
        <v>1</v>
      </c>
      <c r="O5" s="374">
        <v>0</v>
      </c>
      <c r="P5" s="374">
        <v>1</v>
      </c>
      <c r="Q5" s="374">
        <v>1</v>
      </c>
      <c r="R5" s="374">
        <v>4</v>
      </c>
      <c r="S5" s="639"/>
      <c r="T5" s="181" t="s">
        <v>248</v>
      </c>
      <c r="U5" s="175" t="s">
        <v>431</v>
      </c>
      <c r="V5" s="173" t="s">
        <v>100</v>
      </c>
      <c r="W5" s="173" t="s">
        <v>100</v>
      </c>
      <c r="X5" s="176" t="s">
        <v>432</v>
      </c>
      <c r="Y5" s="380" t="s">
        <v>461</v>
      </c>
      <c r="Z5" s="176">
        <v>1</v>
      </c>
      <c r="AA5" s="176">
        <v>1</v>
      </c>
      <c r="AB5" s="176">
        <v>0</v>
      </c>
      <c r="AC5" s="342">
        <v>0</v>
      </c>
      <c r="AD5" s="176">
        <v>1</v>
      </c>
      <c r="AE5" s="176">
        <v>1</v>
      </c>
      <c r="AF5" s="176">
        <v>0</v>
      </c>
      <c r="AG5" s="342">
        <v>0</v>
      </c>
      <c r="AH5" s="176">
        <v>0</v>
      </c>
      <c r="AI5" s="176">
        <v>0</v>
      </c>
      <c r="AJ5" s="176">
        <v>0</v>
      </c>
      <c r="AK5" s="342">
        <v>0</v>
      </c>
      <c r="AL5" s="176">
        <v>0</v>
      </c>
      <c r="AM5" s="176">
        <v>0</v>
      </c>
      <c r="AN5" s="176">
        <v>0</v>
      </c>
      <c r="AO5" s="342">
        <v>0</v>
      </c>
      <c r="AU5" s="517" t="s">
        <v>505</v>
      </c>
      <c r="AV5" s="619">
        <v>0</v>
      </c>
    </row>
    <row r="6" spans="1:48" ht="14.95" customHeight="1" thickBot="1" x14ac:dyDescent="0.3">
      <c r="A6" s="155" t="s">
        <v>509</v>
      </c>
      <c r="B6" s="157" t="s">
        <v>161</v>
      </c>
      <c r="C6" s="157" t="s">
        <v>55</v>
      </c>
      <c r="D6" s="157" t="s">
        <v>517</v>
      </c>
      <c r="E6" s="158" t="s">
        <v>3</v>
      </c>
      <c r="F6" s="158">
        <v>24</v>
      </c>
      <c r="G6" s="158">
        <v>31</v>
      </c>
      <c r="H6" s="375" t="s">
        <v>69</v>
      </c>
      <c r="I6" s="375" t="s">
        <v>69</v>
      </c>
      <c r="J6" s="375">
        <v>3</v>
      </c>
      <c r="K6" s="375">
        <v>3</v>
      </c>
      <c r="L6" s="375">
        <v>0</v>
      </c>
      <c r="M6" s="375">
        <v>1</v>
      </c>
      <c r="N6" s="375">
        <v>1</v>
      </c>
      <c r="O6" s="375">
        <v>0</v>
      </c>
      <c r="P6" s="375" t="s">
        <v>69</v>
      </c>
      <c r="Q6" s="375" t="s">
        <v>69</v>
      </c>
      <c r="R6" s="375">
        <v>5</v>
      </c>
      <c r="S6" s="625">
        <v>15198</v>
      </c>
      <c r="T6" s="166" t="s">
        <v>519</v>
      </c>
      <c r="U6" s="164" t="s">
        <v>116</v>
      </c>
      <c r="V6" s="162" t="s">
        <v>139</v>
      </c>
      <c r="W6" s="162" t="s">
        <v>100</v>
      </c>
      <c r="X6" s="159" t="s">
        <v>252</v>
      </c>
      <c r="Y6" s="379" t="s">
        <v>154</v>
      </c>
      <c r="Z6" s="159">
        <v>1</v>
      </c>
      <c r="AA6" s="159">
        <v>0</v>
      </c>
      <c r="AB6" s="159">
        <v>0</v>
      </c>
      <c r="AC6" s="523">
        <v>1</v>
      </c>
      <c r="AD6" s="159">
        <v>0</v>
      </c>
      <c r="AE6" s="159">
        <v>0</v>
      </c>
      <c r="AF6" s="159">
        <v>0</v>
      </c>
      <c r="AG6" s="523">
        <v>0</v>
      </c>
      <c r="AH6" s="159">
        <v>1</v>
      </c>
      <c r="AI6" s="159">
        <v>0</v>
      </c>
      <c r="AJ6" s="159">
        <v>0</v>
      </c>
      <c r="AK6" s="523">
        <v>1</v>
      </c>
      <c r="AL6" s="159">
        <v>0</v>
      </c>
      <c r="AM6" s="159">
        <v>0</v>
      </c>
      <c r="AN6" s="159">
        <v>0</v>
      </c>
      <c r="AO6" s="523">
        <v>0</v>
      </c>
      <c r="AU6" s="517" t="s">
        <v>506</v>
      </c>
      <c r="AV6" s="619">
        <v>4</v>
      </c>
    </row>
    <row r="7" spans="1:48" ht="14.95" customHeight="1" thickBot="1" x14ac:dyDescent="0.3">
      <c r="A7" s="187" t="s">
        <v>240</v>
      </c>
      <c r="B7" s="188" t="s">
        <v>231</v>
      </c>
      <c r="C7" s="188" t="s">
        <v>36</v>
      </c>
      <c r="D7" s="188" t="s">
        <v>206</v>
      </c>
      <c r="E7" s="184" t="s">
        <v>3</v>
      </c>
      <c r="F7" s="184">
        <v>7</v>
      </c>
      <c r="G7" s="184">
        <v>65</v>
      </c>
      <c r="H7" s="373">
        <v>0</v>
      </c>
      <c r="I7" s="373">
        <v>0</v>
      </c>
      <c r="J7" s="373">
        <v>1</v>
      </c>
      <c r="K7" s="373">
        <v>1</v>
      </c>
      <c r="L7" s="373">
        <v>0</v>
      </c>
      <c r="M7" s="373">
        <v>0</v>
      </c>
      <c r="N7" s="373">
        <v>0</v>
      </c>
      <c r="O7" s="373">
        <v>1</v>
      </c>
      <c r="P7" s="373">
        <v>1</v>
      </c>
      <c r="Q7" s="373">
        <v>0</v>
      </c>
      <c r="R7" s="373">
        <v>11</v>
      </c>
      <c r="S7" s="391">
        <v>4810</v>
      </c>
      <c r="T7" s="204" t="s">
        <v>677</v>
      </c>
      <c r="U7" s="297" t="s">
        <v>119</v>
      </c>
      <c r="V7" s="297" t="s">
        <v>111</v>
      </c>
      <c r="W7" s="297" t="s">
        <v>139</v>
      </c>
      <c r="X7" s="617" t="s">
        <v>252</v>
      </c>
      <c r="Y7" s="618" t="s">
        <v>132</v>
      </c>
      <c r="Z7" s="186">
        <v>1</v>
      </c>
      <c r="AA7" s="186">
        <v>0</v>
      </c>
      <c r="AB7" s="186">
        <v>0</v>
      </c>
      <c r="AC7" s="341">
        <v>1</v>
      </c>
      <c r="AD7" s="186">
        <v>0</v>
      </c>
      <c r="AE7" s="186">
        <v>0</v>
      </c>
      <c r="AF7" s="186">
        <v>0</v>
      </c>
      <c r="AG7" s="341">
        <v>0</v>
      </c>
      <c r="AH7" s="186">
        <v>0</v>
      </c>
      <c r="AI7" s="186">
        <v>0</v>
      </c>
      <c r="AJ7" s="186">
        <v>0</v>
      </c>
      <c r="AK7" s="341">
        <v>0</v>
      </c>
      <c r="AL7" s="186">
        <v>1</v>
      </c>
      <c r="AM7" s="186">
        <v>0</v>
      </c>
      <c r="AN7" s="186">
        <v>0</v>
      </c>
      <c r="AO7" s="341">
        <v>1</v>
      </c>
      <c r="AU7" s="517" t="s">
        <v>507</v>
      </c>
      <c r="AV7" s="619">
        <v>90</v>
      </c>
    </row>
    <row r="8" spans="1:48" ht="14.95" customHeight="1" thickBot="1" x14ac:dyDescent="0.3">
      <c r="A8" s="187" t="s">
        <v>234</v>
      </c>
      <c r="B8" s="188" t="s">
        <v>231</v>
      </c>
      <c r="C8" s="188" t="s">
        <v>34</v>
      </c>
      <c r="D8" s="188" t="s">
        <v>246</v>
      </c>
      <c r="E8" s="184" t="s">
        <v>3</v>
      </c>
      <c r="F8" s="184">
        <v>15</v>
      </c>
      <c r="G8" s="184">
        <v>29</v>
      </c>
      <c r="H8" s="373">
        <v>0</v>
      </c>
      <c r="I8" s="373">
        <v>0</v>
      </c>
      <c r="J8" s="373">
        <v>3</v>
      </c>
      <c r="K8" s="373">
        <v>0</v>
      </c>
      <c r="L8" s="373">
        <v>0</v>
      </c>
      <c r="M8" s="373">
        <v>0</v>
      </c>
      <c r="N8" s="373">
        <v>2</v>
      </c>
      <c r="O8" s="373">
        <v>1</v>
      </c>
      <c r="P8" s="373">
        <v>1</v>
      </c>
      <c r="Q8" s="373">
        <v>0</v>
      </c>
      <c r="R8" s="373">
        <v>5</v>
      </c>
      <c r="S8" s="391">
        <v>9803</v>
      </c>
      <c r="T8" s="198" t="s">
        <v>177</v>
      </c>
      <c r="U8" s="190" t="s">
        <v>272</v>
      </c>
      <c r="V8" s="190" t="s">
        <v>141</v>
      </c>
      <c r="W8" s="189" t="s">
        <v>110</v>
      </c>
      <c r="X8" s="189" t="s">
        <v>117</v>
      </c>
      <c r="Y8" s="381" t="s">
        <v>154</v>
      </c>
      <c r="Z8" s="186">
        <v>1</v>
      </c>
      <c r="AA8" s="186">
        <v>0</v>
      </c>
      <c r="AB8" s="186">
        <v>0</v>
      </c>
      <c r="AC8" s="341">
        <v>1</v>
      </c>
      <c r="AD8" s="186">
        <v>0</v>
      </c>
      <c r="AE8" s="186">
        <v>0</v>
      </c>
      <c r="AF8" s="186">
        <v>0</v>
      </c>
      <c r="AG8" s="341">
        <v>0</v>
      </c>
      <c r="AH8" s="186">
        <v>0</v>
      </c>
      <c r="AI8" s="186">
        <v>0</v>
      </c>
      <c r="AJ8" s="186">
        <v>0</v>
      </c>
      <c r="AK8" s="341">
        <v>0</v>
      </c>
      <c r="AL8" s="186">
        <v>1</v>
      </c>
      <c r="AM8" s="186">
        <v>0</v>
      </c>
      <c r="AN8" s="186">
        <v>0</v>
      </c>
      <c r="AO8" s="341">
        <v>1</v>
      </c>
    </row>
    <row r="9" spans="1:48" ht="14.95" customHeight="1" thickBot="1" x14ac:dyDescent="0.35">
      <c r="A9" s="187" t="s">
        <v>172</v>
      </c>
      <c r="B9" s="188" t="s">
        <v>231</v>
      </c>
      <c r="C9" s="188" t="s">
        <v>31</v>
      </c>
      <c r="D9" s="188" t="s">
        <v>241</v>
      </c>
      <c r="E9" s="184" t="s">
        <v>1</v>
      </c>
      <c r="F9" s="184">
        <v>28</v>
      </c>
      <c r="G9" s="184">
        <v>25</v>
      </c>
      <c r="H9" s="373">
        <v>1</v>
      </c>
      <c r="I9" s="373">
        <v>0</v>
      </c>
      <c r="J9" s="373">
        <v>4</v>
      </c>
      <c r="K9" s="373">
        <v>4</v>
      </c>
      <c r="L9" s="373">
        <v>0</v>
      </c>
      <c r="M9" s="373">
        <v>0</v>
      </c>
      <c r="N9" s="373">
        <v>0</v>
      </c>
      <c r="O9" s="373">
        <v>0</v>
      </c>
      <c r="P9" s="373">
        <v>1</v>
      </c>
      <c r="Q9" s="373">
        <v>1</v>
      </c>
      <c r="R9" s="373">
        <v>5</v>
      </c>
      <c r="S9" s="186">
        <v>14003</v>
      </c>
      <c r="T9" s="363" t="s">
        <v>779</v>
      </c>
      <c r="U9" s="186" t="s">
        <v>252</v>
      </c>
      <c r="V9" s="186" t="s">
        <v>139</v>
      </c>
      <c r="W9" s="186" t="s">
        <v>115</v>
      </c>
      <c r="X9" s="186" t="s">
        <v>272</v>
      </c>
      <c r="Y9" s="186" t="s">
        <v>163</v>
      </c>
      <c r="Z9" s="186">
        <v>1</v>
      </c>
      <c r="AA9" s="186">
        <v>1</v>
      </c>
      <c r="AB9" s="186">
        <v>0</v>
      </c>
      <c r="AC9" s="341">
        <v>0</v>
      </c>
      <c r="AD9" s="186">
        <v>0</v>
      </c>
      <c r="AE9" s="186">
        <v>0</v>
      </c>
      <c r="AF9" s="186">
        <v>0</v>
      </c>
      <c r="AG9" s="341">
        <v>0</v>
      </c>
      <c r="AH9" s="186">
        <v>0</v>
      </c>
      <c r="AI9" s="186">
        <v>0</v>
      </c>
      <c r="AJ9" s="186">
        <v>0</v>
      </c>
      <c r="AK9" s="341">
        <v>0</v>
      </c>
      <c r="AL9" s="186">
        <v>1</v>
      </c>
      <c r="AM9" s="186">
        <v>1</v>
      </c>
      <c r="AN9" s="186">
        <v>0</v>
      </c>
      <c r="AO9" s="341">
        <v>0</v>
      </c>
    </row>
    <row r="10" spans="1:48" ht="14.95" customHeight="1" thickBot="1" x14ac:dyDescent="0.3">
      <c r="A10" s="104"/>
      <c r="B10" s="105"/>
      <c r="C10" s="776" t="s">
        <v>93</v>
      </c>
      <c r="D10" s="777"/>
      <c r="E10" s="778"/>
      <c r="F10" s="109">
        <f t="shared" ref="F10:R10" si="0">SUM(F4:F5)</f>
        <v>83</v>
      </c>
      <c r="G10" s="109">
        <f t="shared" si="0"/>
        <v>25</v>
      </c>
      <c r="H10" s="109">
        <f t="shared" si="0"/>
        <v>2</v>
      </c>
      <c r="I10" s="109">
        <f t="shared" si="0"/>
        <v>0</v>
      </c>
      <c r="J10" s="109">
        <f t="shared" si="0"/>
        <v>15</v>
      </c>
      <c r="K10" s="109">
        <f t="shared" si="0"/>
        <v>4</v>
      </c>
      <c r="L10" s="109">
        <f t="shared" si="0"/>
        <v>0</v>
      </c>
      <c r="M10" s="109">
        <f t="shared" si="0"/>
        <v>0</v>
      </c>
      <c r="N10" s="109">
        <f t="shared" si="0"/>
        <v>1</v>
      </c>
      <c r="O10" s="109">
        <f t="shared" si="0"/>
        <v>0</v>
      </c>
      <c r="P10" s="109">
        <f t="shared" si="0"/>
        <v>1</v>
      </c>
      <c r="Q10" s="109">
        <f t="shared" si="0"/>
        <v>1</v>
      </c>
      <c r="R10" s="109">
        <f t="shared" si="0"/>
        <v>5</v>
      </c>
      <c r="T10" s="286"/>
      <c r="U10" s="286"/>
      <c r="V10" s="286"/>
      <c r="W10" s="286"/>
      <c r="X10" s="106"/>
      <c r="Y10" s="394" t="s">
        <v>93</v>
      </c>
      <c r="Z10" s="109">
        <f t="shared" ref="Z10:AO10" si="1">SUM(Z4:Z5)</f>
        <v>2</v>
      </c>
      <c r="AA10" s="109">
        <f t="shared" si="1"/>
        <v>2</v>
      </c>
      <c r="AB10" s="109">
        <f t="shared" si="1"/>
        <v>0</v>
      </c>
      <c r="AC10" s="109">
        <f t="shared" si="1"/>
        <v>0</v>
      </c>
      <c r="AD10" s="107">
        <f t="shared" si="1"/>
        <v>2</v>
      </c>
      <c r="AE10" s="107">
        <f t="shared" si="1"/>
        <v>2</v>
      </c>
      <c r="AF10" s="107">
        <f t="shared" si="1"/>
        <v>0</v>
      </c>
      <c r="AG10" s="107">
        <f t="shared" si="1"/>
        <v>0</v>
      </c>
      <c r="AH10" s="108">
        <f t="shared" si="1"/>
        <v>0</v>
      </c>
      <c r="AI10" s="108">
        <f t="shared" si="1"/>
        <v>0</v>
      </c>
      <c r="AJ10" s="108">
        <f t="shared" si="1"/>
        <v>0</v>
      </c>
      <c r="AK10" s="108">
        <f t="shared" si="1"/>
        <v>0</v>
      </c>
      <c r="AL10" s="109">
        <f t="shared" si="1"/>
        <v>0</v>
      </c>
      <c r="AM10" s="109">
        <f t="shared" si="1"/>
        <v>0</v>
      </c>
      <c r="AN10" s="109">
        <f t="shared" si="1"/>
        <v>0</v>
      </c>
      <c r="AO10" s="109">
        <f t="shared" si="1"/>
        <v>0</v>
      </c>
    </row>
    <row r="11" spans="1:48" ht="14.95" thickBot="1" x14ac:dyDescent="0.3">
      <c r="A11" s="104"/>
      <c r="B11" s="105"/>
      <c r="C11" s="731" t="s">
        <v>237</v>
      </c>
      <c r="D11" s="787"/>
      <c r="E11" s="788"/>
      <c r="F11" s="457">
        <f>SUM(F7:F9)</f>
        <v>50</v>
      </c>
      <c r="G11" s="457">
        <f t="shared" ref="G11:R11" si="2">SUM(G7:G9)</f>
        <v>119</v>
      </c>
      <c r="H11" s="457">
        <f t="shared" si="2"/>
        <v>1</v>
      </c>
      <c r="I11" s="457">
        <f t="shared" si="2"/>
        <v>0</v>
      </c>
      <c r="J11" s="457">
        <f t="shared" si="2"/>
        <v>8</v>
      </c>
      <c r="K11" s="457">
        <f t="shared" si="2"/>
        <v>5</v>
      </c>
      <c r="L11" s="457">
        <f t="shared" si="2"/>
        <v>0</v>
      </c>
      <c r="M11" s="457">
        <f t="shared" si="2"/>
        <v>0</v>
      </c>
      <c r="N11" s="457">
        <f t="shared" si="2"/>
        <v>2</v>
      </c>
      <c r="O11" s="457">
        <f t="shared" si="2"/>
        <v>2</v>
      </c>
      <c r="P11" s="457">
        <f t="shared" si="2"/>
        <v>3</v>
      </c>
      <c r="Q11" s="457">
        <f t="shared" si="2"/>
        <v>1</v>
      </c>
      <c r="R11" s="457">
        <f t="shared" si="2"/>
        <v>21</v>
      </c>
      <c r="T11" s="458"/>
      <c r="U11" s="458"/>
      <c r="V11" s="458"/>
      <c r="W11" s="458"/>
      <c r="X11" s="459"/>
      <c r="Y11" s="460" t="s">
        <v>237</v>
      </c>
      <c r="Z11" s="457">
        <f t="shared" ref="Z11:AO11" si="3">SUM(Z7:Z9)</f>
        <v>3</v>
      </c>
      <c r="AA11" s="457">
        <f t="shared" si="3"/>
        <v>1</v>
      </c>
      <c r="AB11" s="457">
        <f t="shared" si="3"/>
        <v>0</v>
      </c>
      <c r="AC11" s="457">
        <f t="shared" si="3"/>
        <v>2</v>
      </c>
      <c r="AD11" s="461">
        <f t="shared" si="3"/>
        <v>0</v>
      </c>
      <c r="AE11" s="461">
        <f t="shared" si="3"/>
        <v>0</v>
      </c>
      <c r="AF11" s="461">
        <f t="shared" si="3"/>
        <v>0</v>
      </c>
      <c r="AG11" s="461">
        <f t="shared" si="3"/>
        <v>0</v>
      </c>
      <c r="AH11" s="462">
        <f t="shared" si="3"/>
        <v>0</v>
      </c>
      <c r="AI11" s="462">
        <f t="shared" si="3"/>
        <v>0</v>
      </c>
      <c r="AJ11" s="462">
        <f t="shared" si="3"/>
        <v>0</v>
      </c>
      <c r="AK11" s="462">
        <f t="shared" si="3"/>
        <v>0</v>
      </c>
      <c r="AL11" s="457">
        <f t="shared" si="3"/>
        <v>3</v>
      </c>
      <c r="AM11" s="457">
        <f t="shared" si="3"/>
        <v>1</v>
      </c>
      <c r="AN11" s="457">
        <f t="shared" si="3"/>
        <v>0</v>
      </c>
      <c r="AO11" s="457">
        <f t="shared" si="3"/>
        <v>2</v>
      </c>
    </row>
    <row r="12" spans="1:48" ht="14.95" thickBot="1" x14ac:dyDescent="0.3">
      <c r="A12" s="104"/>
      <c r="B12" s="105"/>
      <c r="C12" s="728" t="s">
        <v>70</v>
      </c>
      <c r="D12" s="729"/>
      <c r="E12" s="730"/>
      <c r="F12" s="128">
        <f t="shared" ref="F12:R12" si="4">SUM(F3:F9)</f>
        <v>164</v>
      </c>
      <c r="G12" s="128">
        <f t="shared" si="4"/>
        <v>218</v>
      </c>
      <c r="H12" s="128">
        <f t="shared" si="4"/>
        <v>3</v>
      </c>
      <c r="I12" s="128">
        <f t="shared" si="4"/>
        <v>0</v>
      </c>
      <c r="J12" s="128">
        <f t="shared" si="4"/>
        <v>27</v>
      </c>
      <c r="K12" s="128">
        <f t="shared" si="4"/>
        <v>13</v>
      </c>
      <c r="L12" s="128">
        <f t="shared" si="4"/>
        <v>0</v>
      </c>
      <c r="M12" s="128">
        <f t="shared" si="4"/>
        <v>1</v>
      </c>
      <c r="N12" s="128">
        <f t="shared" si="4"/>
        <v>5</v>
      </c>
      <c r="O12" s="128">
        <f t="shared" si="4"/>
        <v>2</v>
      </c>
      <c r="P12" s="128">
        <f t="shared" si="4"/>
        <v>4</v>
      </c>
      <c r="Q12" s="128">
        <f t="shared" si="4"/>
        <v>2</v>
      </c>
      <c r="R12" s="128">
        <f t="shared" si="4"/>
        <v>38</v>
      </c>
      <c r="T12" s="197"/>
      <c r="U12" s="197"/>
      <c r="V12" s="197"/>
      <c r="W12" s="197"/>
      <c r="X12" s="12"/>
      <c r="Y12" s="133" t="s">
        <v>70</v>
      </c>
      <c r="Z12" s="128">
        <f t="shared" ref="Z12:AO12" si="5">SUM(Z3:Z9)</f>
        <v>7</v>
      </c>
      <c r="AA12" s="128">
        <f t="shared" si="5"/>
        <v>3</v>
      </c>
      <c r="AB12" s="128">
        <f t="shared" si="5"/>
        <v>0</v>
      </c>
      <c r="AC12" s="128">
        <f t="shared" si="5"/>
        <v>4</v>
      </c>
      <c r="AD12" s="126">
        <f t="shared" si="5"/>
        <v>3</v>
      </c>
      <c r="AE12" s="126">
        <f t="shared" si="5"/>
        <v>2</v>
      </c>
      <c r="AF12" s="126">
        <f t="shared" si="5"/>
        <v>0</v>
      </c>
      <c r="AG12" s="126">
        <f t="shared" si="5"/>
        <v>1</v>
      </c>
      <c r="AH12" s="127">
        <f t="shared" si="5"/>
        <v>1</v>
      </c>
      <c r="AI12" s="127">
        <f t="shared" si="5"/>
        <v>0</v>
      </c>
      <c r="AJ12" s="127">
        <f t="shared" si="5"/>
        <v>0</v>
      </c>
      <c r="AK12" s="127">
        <f t="shared" si="5"/>
        <v>1</v>
      </c>
      <c r="AL12" s="128">
        <f t="shared" si="5"/>
        <v>3</v>
      </c>
      <c r="AM12" s="128">
        <f t="shared" si="5"/>
        <v>1</v>
      </c>
      <c r="AN12" s="128">
        <f t="shared" si="5"/>
        <v>0</v>
      </c>
      <c r="AO12" s="128">
        <f t="shared" si="5"/>
        <v>2</v>
      </c>
    </row>
    <row r="13" spans="1:48" ht="14.3" customHeight="1" x14ac:dyDescent="0.25">
      <c r="A13" s="727" t="s">
        <v>53</v>
      </c>
      <c r="B13" s="687"/>
      <c r="C13" s="687"/>
      <c r="D13" s="687"/>
      <c r="E13" s="687"/>
      <c r="F13" s="687"/>
      <c r="G13" s="687"/>
      <c r="H13" s="687"/>
      <c r="I13" s="687"/>
      <c r="J13" s="687"/>
      <c r="K13" s="687"/>
      <c r="L13" s="687"/>
      <c r="M13" s="687"/>
      <c r="N13" s="687"/>
      <c r="O13" s="687"/>
      <c r="P13" s="687"/>
      <c r="Q13" s="687"/>
      <c r="R13" s="687"/>
    </row>
    <row r="14" spans="1:48" x14ac:dyDescent="0.25">
      <c r="A14" s="522" t="s">
        <v>520</v>
      </c>
    </row>
    <row r="15" spans="1:48" x14ac:dyDescent="0.25">
      <c r="A15" t="s">
        <v>570</v>
      </c>
      <c r="S15" s="73"/>
    </row>
    <row r="16" spans="1:48" x14ac:dyDescent="0.25">
      <c r="A16" s="727" t="s">
        <v>798</v>
      </c>
      <c r="B16" s="687"/>
      <c r="C16" s="687"/>
      <c r="D16" s="687"/>
      <c r="E16" s="687"/>
      <c r="F16" s="687"/>
      <c r="G16" s="687"/>
      <c r="H16" s="687"/>
      <c r="I16" s="687"/>
      <c r="J16" s="687"/>
      <c r="K16" s="687"/>
      <c r="L16" s="687"/>
      <c r="M16" s="687"/>
      <c r="N16" s="687"/>
      <c r="O16" s="687"/>
      <c r="P16" s="687"/>
      <c r="Q16" s="687"/>
      <c r="R16" s="687"/>
      <c r="S16" s="73"/>
    </row>
    <row r="17" spans="1:41" x14ac:dyDescent="0.25">
      <c r="A17" t="s">
        <v>75</v>
      </c>
      <c r="S17" s="73"/>
    </row>
    <row r="18" spans="1:41" x14ac:dyDescent="0.25">
      <c r="A18" s="313"/>
      <c r="B18" s="73" t="s">
        <v>40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</row>
    <row r="19" spans="1:41" x14ac:dyDescent="0.25">
      <c r="A19" s="314"/>
      <c r="B19" s="73" t="s">
        <v>38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</row>
    <row r="20" spans="1:41" x14ac:dyDescent="0.25">
      <c r="A20" s="315"/>
      <c r="B20" s="73" t="s">
        <v>39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</row>
    <row r="21" spans="1:41" ht="16.3" x14ac:dyDescent="0.3">
      <c r="A21" s="681" t="s">
        <v>28</v>
      </c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</row>
  </sheetData>
  <mergeCells count="15">
    <mergeCell ref="A16:R16"/>
    <mergeCell ref="AH1:AK1"/>
    <mergeCell ref="AL1:AO1"/>
    <mergeCell ref="C10:E10"/>
    <mergeCell ref="A1:C1"/>
    <mergeCell ref="E1:G1"/>
    <mergeCell ref="H1:I1"/>
    <mergeCell ref="J1:M1"/>
    <mergeCell ref="N1:O1"/>
    <mergeCell ref="P1:R1"/>
    <mergeCell ref="A13:R13"/>
    <mergeCell ref="C12:E12"/>
    <mergeCell ref="C11:E11"/>
    <mergeCell ref="Z1:AC1"/>
    <mergeCell ref="AD1:AG1"/>
  </mergeCells>
  <pageMargins left="0.7" right="0.7" top="0.75" bottom="0.75" header="0.3" footer="0.3"/>
  <pageSetup paperSize="9" orientation="portrait" r:id="rId1"/>
  <ignoredErrors>
    <ignoredError sqref="T11:V11 X11 F11:R11 Z11:AO11 W11 W10 X10:Y10 T10:V10 F10:R10 Z10:AO10" formulaRange="1"/>
    <ignoredError sqref="T3 T8" twoDigitTextYear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U29"/>
  <sheetViews>
    <sheetView zoomScaleNormal="100" workbookViewId="0">
      <pane ySplit="2" topLeftCell="A3" activePane="bottomLeft" state="frozen"/>
      <selection pane="bottomLeft" activeCell="S14" sqref="S14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5" bestFit="1" customWidth="1"/>
    <col min="5" max="9" width="3.75" customWidth="1"/>
    <col min="10" max="10" width="3.875" customWidth="1"/>
    <col min="11" max="18" width="3.75" customWidth="1"/>
    <col min="19" max="20" width="6.25" customWidth="1"/>
    <col min="21" max="21" width="23.625" bestFit="1" customWidth="1"/>
    <col min="22" max="22" width="22.25" bestFit="1" customWidth="1"/>
    <col min="23" max="23" width="21.875" bestFit="1" customWidth="1"/>
    <col min="24" max="24" width="23.625" bestFit="1" customWidth="1"/>
    <col min="25" max="25" width="18.875" bestFit="1" customWidth="1"/>
    <col min="26" max="41" width="3.75" customWidth="1"/>
    <col min="46" max="46" width="9.875" bestFit="1" customWidth="1"/>
  </cols>
  <sheetData>
    <row r="1" spans="1:47" ht="14.95" customHeight="1" thickBot="1" x14ac:dyDescent="0.3">
      <c r="A1" s="795" t="s">
        <v>201</v>
      </c>
      <c r="B1" s="796"/>
      <c r="C1" s="796"/>
      <c r="D1" s="44"/>
      <c r="E1" s="797" t="s">
        <v>24</v>
      </c>
      <c r="F1" s="798"/>
      <c r="G1" s="799"/>
      <c r="H1" s="797" t="s">
        <v>23</v>
      </c>
      <c r="I1" s="799"/>
      <c r="J1" s="792" t="s">
        <v>6</v>
      </c>
      <c r="K1" s="794"/>
      <c r="L1" s="794"/>
      <c r="M1" s="793"/>
      <c r="N1" s="792" t="s">
        <v>7</v>
      </c>
      <c r="O1" s="793"/>
      <c r="P1" s="792" t="s">
        <v>25</v>
      </c>
      <c r="Q1" s="794"/>
      <c r="R1" s="793"/>
      <c r="S1" s="132" t="s">
        <v>8</v>
      </c>
      <c r="T1" s="132" t="s">
        <v>9</v>
      </c>
      <c r="U1" s="31" t="s">
        <v>10</v>
      </c>
      <c r="V1" s="30" t="s">
        <v>11</v>
      </c>
      <c r="W1" s="31" t="s">
        <v>109</v>
      </c>
      <c r="X1" s="32" t="s">
        <v>26</v>
      </c>
      <c r="Y1" s="207" t="s">
        <v>27</v>
      </c>
      <c r="Z1" s="789" t="s">
        <v>20</v>
      </c>
      <c r="AA1" s="790"/>
      <c r="AB1" s="790"/>
      <c r="AC1" s="791"/>
      <c r="AD1" s="789" t="s">
        <v>56</v>
      </c>
      <c r="AE1" s="790"/>
      <c r="AF1" s="790"/>
      <c r="AG1" s="791"/>
      <c r="AH1" s="789" t="s">
        <v>57</v>
      </c>
      <c r="AI1" s="790"/>
      <c r="AJ1" s="790"/>
      <c r="AK1" s="791"/>
      <c r="AL1" s="789" t="s">
        <v>58</v>
      </c>
      <c r="AM1" s="790"/>
      <c r="AN1" s="790"/>
      <c r="AO1" s="791"/>
      <c r="AT1" s="73" t="s">
        <v>508</v>
      </c>
    </row>
    <row r="2" spans="1:47" ht="14.95" customHeight="1" thickBot="1" x14ac:dyDescent="0.3">
      <c r="A2" s="33" t="s">
        <v>19</v>
      </c>
      <c r="B2" s="34" t="s">
        <v>18</v>
      </c>
      <c r="C2" s="35" t="s">
        <v>17</v>
      </c>
      <c r="D2" s="35" t="s">
        <v>37</v>
      </c>
      <c r="E2" s="36" t="s">
        <v>16</v>
      </c>
      <c r="F2" s="36" t="s">
        <v>4</v>
      </c>
      <c r="G2" s="36" t="s">
        <v>5</v>
      </c>
      <c r="H2" s="37" t="s">
        <v>12</v>
      </c>
      <c r="I2" s="37" t="s">
        <v>3</v>
      </c>
      <c r="J2" s="37" t="s">
        <v>12</v>
      </c>
      <c r="K2" s="37" t="s">
        <v>13</v>
      </c>
      <c r="L2" s="37" t="s">
        <v>2</v>
      </c>
      <c r="M2" s="37" t="s">
        <v>14</v>
      </c>
      <c r="N2" s="37" t="s">
        <v>15</v>
      </c>
      <c r="O2" s="37" t="s">
        <v>16</v>
      </c>
      <c r="P2" s="37" t="s">
        <v>21</v>
      </c>
      <c r="Q2" s="37" t="s">
        <v>22</v>
      </c>
      <c r="R2" s="37" t="s">
        <v>12</v>
      </c>
      <c r="S2" s="38"/>
      <c r="T2" s="39"/>
      <c r="U2" s="40"/>
      <c r="V2" s="38"/>
      <c r="W2" s="40"/>
      <c r="X2" s="41"/>
      <c r="Y2" s="42"/>
      <c r="Z2" s="116" t="s">
        <v>0</v>
      </c>
      <c r="AA2" s="116" t="s">
        <v>1</v>
      </c>
      <c r="AB2" s="116" t="s">
        <v>2</v>
      </c>
      <c r="AC2" s="116" t="s">
        <v>3</v>
      </c>
      <c r="AD2" s="116" t="s">
        <v>0</v>
      </c>
      <c r="AE2" s="116" t="s">
        <v>1</v>
      </c>
      <c r="AF2" s="116" t="s">
        <v>2</v>
      </c>
      <c r="AG2" s="116" t="s">
        <v>3</v>
      </c>
      <c r="AH2" s="116" t="s">
        <v>0</v>
      </c>
      <c r="AI2" s="116" t="s">
        <v>1</v>
      </c>
      <c r="AJ2" s="116" t="s">
        <v>2</v>
      </c>
      <c r="AK2" s="116" t="s">
        <v>3</v>
      </c>
      <c r="AL2" s="116" t="s">
        <v>0</v>
      </c>
      <c r="AM2" s="116" t="s">
        <v>1</v>
      </c>
      <c r="AN2" s="116" t="s">
        <v>2</v>
      </c>
      <c r="AO2" s="116" t="s">
        <v>3</v>
      </c>
      <c r="AT2" s="515" t="s">
        <v>503</v>
      </c>
      <c r="AU2" s="516">
        <v>48</v>
      </c>
    </row>
    <row r="3" spans="1:47" ht="14.95" customHeight="1" thickBot="1" x14ac:dyDescent="0.35">
      <c r="A3" s="155" t="s">
        <v>207</v>
      </c>
      <c r="B3" s="157" t="s">
        <v>41</v>
      </c>
      <c r="C3" s="157" t="s">
        <v>35</v>
      </c>
      <c r="D3" s="157" t="s">
        <v>108</v>
      </c>
      <c r="E3" s="158" t="s">
        <v>1</v>
      </c>
      <c r="F3" s="158">
        <v>27</v>
      </c>
      <c r="G3" s="158">
        <v>15</v>
      </c>
      <c r="H3" s="375">
        <v>0</v>
      </c>
      <c r="I3" s="375">
        <v>0</v>
      </c>
      <c r="J3" s="375">
        <v>3</v>
      </c>
      <c r="K3" s="375">
        <v>3</v>
      </c>
      <c r="L3" s="375">
        <v>0</v>
      </c>
      <c r="M3" s="375">
        <v>2</v>
      </c>
      <c r="N3" s="375">
        <v>0</v>
      </c>
      <c r="O3" s="375">
        <v>1</v>
      </c>
      <c r="P3" s="375">
        <v>0</v>
      </c>
      <c r="Q3" s="375">
        <v>0</v>
      </c>
      <c r="R3" s="375">
        <v>3</v>
      </c>
      <c r="S3" s="162"/>
      <c r="T3" s="163" t="s">
        <v>248</v>
      </c>
      <c r="U3" s="164" t="s">
        <v>247</v>
      </c>
      <c r="V3" s="162" t="s">
        <v>141</v>
      </c>
      <c r="W3" s="162" t="s">
        <v>111</v>
      </c>
      <c r="X3" s="159" t="s">
        <v>117</v>
      </c>
      <c r="Y3" s="165" t="s">
        <v>154</v>
      </c>
      <c r="Z3" s="159">
        <v>1</v>
      </c>
      <c r="AA3" s="159">
        <v>1</v>
      </c>
      <c r="AB3" s="159">
        <v>0</v>
      </c>
      <c r="AC3" s="523">
        <v>0</v>
      </c>
      <c r="AD3" s="159">
        <v>0</v>
      </c>
      <c r="AE3" s="159">
        <v>0</v>
      </c>
      <c r="AF3" s="159">
        <v>0</v>
      </c>
      <c r="AG3" s="523">
        <v>0</v>
      </c>
      <c r="AH3" s="159">
        <v>1</v>
      </c>
      <c r="AI3" s="159">
        <v>1</v>
      </c>
      <c r="AJ3" s="159">
        <v>0</v>
      </c>
      <c r="AK3" s="523">
        <v>0</v>
      </c>
      <c r="AL3" s="159">
        <v>0</v>
      </c>
      <c r="AM3" s="159">
        <v>0</v>
      </c>
      <c r="AN3" s="159">
        <v>0</v>
      </c>
      <c r="AO3" s="523">
        <v>0</v>
      </c>
      <c r="AT3" s="517" t="s">
        <v>504</v>
      </c>
      <c r="AU3" s="518">
        <v>33</v>
      </c>
    </row>
    <row r="4" spans="1:47" ht="14.95" customHeight="1" thickBot="1" x14ac:dyDescent="0.35">
      <c r="A4" s="170" t="s">
        <v>208</v>
      </c>
      <c r="B4" s="171" t="s">
        <v>41</v>
      </c>
      <c r="C4" s="171" t="s">
        <v>34</v>
      </c>
      <c r="D4" s="171" t="s">
        <v>209</v>
      </c>
      <c r="E4" s="172" t="s">
        <v>1</v>
      </c>
      <c r="F4" s="172">
        <v>38</v>
      </c>
      <c r="G4" s="172">
        <v>15</v>
      </c>
      <c r="H4" s="374">
        <v>1</v>
      </c>
      <c r="I4" s="374">
        <v>0</v>
      </c>
      <c r="J4" s="374">
        <v>4</v>
      </c>
      <c r="K4" s="374">
        <v>3</v>
      </c>
      <c r="L4" s="374">
        <v>1</v>
      </c>
      <c r="M4" s="374">
        <v>3</v>
      </c>
      <c r="N4" s="374">
        <v>0</v>
      </c>
      <c r="O4" s="374">
        <v>0</v>
      </c>
      <c r="P4" s="374">
        <v>0</v>
      </c>
      <c r="Q4" s="374">
        <v>0</v>
      </c>
      <c r="R4" s="374">
        <v>2</v>
      </c>
      <c r="S4" s="173"/>
      <c r="T4" s="181" t="s">
        <v>271</v>
      </c>
      <c r="U4" s="176" t="s">
        <v>272</v>
      </c>
      <c r="V4" s="173" t="s">
        <v>111</v>
      </c>
      <c r="W4" s="173" t="s">
        <v>127</v>
      </c>
      <c r="X4" s="176" t="s">
        <v>252</v>
      </c>
      <c r="Y4" s="177" t="s">
        <v>154</v>
      </c>
      <c r="Z4" s="176">
        <v>1</v>
      </c>
      <c r="AA4" s="176">
        <v>1</v>
      </c>
      <c r="AB4" s="176">
        <v>0</v>
      </c>
      <c r="AC4" s="342">
        <v>0</v>
      </c>
      <c r="AD4" s="176">
        <v>1</v>
      </c>
      <c r="AE4" s="176">
        <v>1</v>
      </c>
      <c r="AF4" s="176">
        <v>0</v>
      </c>
      <c r="AG4" s="342">
        <v>0</v>
      </c>
      <c r="AH4" s="176">
        <v>0</v>
      </c>
      <c r="AI4" s="176">
        <v>0</v>
      </c>
      <c r="AJ4" s="176">
        <v>0</v>
      </c>
      <c r="AK4" s="342">
        <v>0</v>
      </c>
      <c r="AL4" s="176">
        <v>0</v>
      </c>
      <c r="AM4" s="176">
        <v>0</v>
      </c>
      <c r="AN4" s="176">
        <v>0</v>
      </c>
      <c r="AO4" s="342">
        <v>0</v>
      </c>
      <c r="AT4" s="517" t="s">
        <v>505</v>
      </c>
      <c r="AU4" s="518">
        <v>0</v>
      </c>
    </row>
    <row r="5" spans="1:47" ht="14.95" customHeight="1" thickBot="1" x14ac:dyDescent="0.35">
      <c r="A5" s="170" t="s">
        <v>212</v>
      </c>
      <c r="B5" s="171" t="s">
        <v>41</v>
      </c>
      <c r="C5" s="171" t="s">
        <v>31</v>
      </c>
      <c r="D5" s="171" t="s">
        <v>213</v>
      </c>
      <c r="E5" s="172" t="s">
        <v>1</v>
      </c>
      <c r="F5" s="172">
        <v>42</v>
      </c>
      <c r="G5" s="172">
        <v>12</v>
      </c>
      <c r="H5" s="374">
        <v>1</v>
      </c>
      <c r="I5" s="374">
        <v>0</v>
      </c>
      <c r="J5" s="374">
        <v>6</v>
      </c>
      <c r="K5" s="374">
        <v>5</v>
      </c>
      <c r="L5" s="374">
        <v>0</v>
      </c>
      <c r="M5" s="374">
        <v>0</v>
      </c>
      <c r="N5" s="374">
        <v>0</v>
      </c>
      <c r="O5" s="374">
        <v>0</v>
      </c>
      <c r="P5" s="374">
        <v>0</v>
      </c>
      <c r="Q5" s="374">
        <v>0</v>
      </c>
      <c r="R5" s="374">
        <v>2</v>
      </c>
      <c r="S5" s="173"/>
      <c r="T5" s="181" t="s">
        <v>187</v>
      </c>
      <c r="U5" s="175" t="s">
        <v>117</v>
      </c>
      <c r="V5" s="173" t="s">
        <v>115</v>
      </c>
      <c r="W5" s="173" t="s">
        <v>141</v>
      </c>
      <c r="X5" s="176" t="s">
        <v>116</v>
      </c>
      <c r="Y5" s="177" t="s">
        <v>131</v>
      </c>
      <c r="Z5" s="176">
        <v>1</v>
      </c>
      <c r="AA5" s="176">
        <v>1</v>
      </c>
      <c r="AB5" s="176">
        <v>0</v>
      </c>
      <c r="AC5" s="342">
        <v>0</v>
      </c>
      <c r="AD5" s="176">
        <v>1</v>
      </c>
      <c r="AE5" s="176">
        <v>1</v>
      </c>
      <c r="AF5" s="176">
        <v>0</v>
      </c>
      <c r="AG5" s="342">
        <v>0</v>
      </c>
      <c r="AH5" s="176">
        <v>0</v>
      </c>
      <c r="AI5" s="176">
        <v>0</v>
      </c>
      <c r="AJ5" s="176">
        <v>0</v>
      </c>
      <c r="AK5" s="342">
        <v>0</v>
      </c>
      <c r="AL5" s="176">
        <v>0</v>
      </c>
      <c r="AM5" s="176">
        <v>0</v>
      </c>
      <c r="AN5" s="176">
        <v>0</v>
      </c>
      <c r="AO5" s="342">
        <v>0</v>
      </c>
      <c r="AT5" s="517" t="s">
        <v>506</v>
      </c>
      <c r="AU5" s="518">
        <v>15</v>
      </c>
    </row>
    <row r="6" spans="1:47" ht="14.95" customHeight="1" thickBot="1" x14ac:dyDescent="0.3">
      <c r="A6" s="155" t="s">
        <v>219</v>
      </c>
      <c r="B6" s="157" t="s">
        <v>41</v>
      </c>
      <c r="C6" s="157" t="s">
        <v>32</v>
      </c>
      <c r="D6" s="157" t="s">
        <v>211</v>
      </c>
      <c r="E6" s="158" t="s">
        <v>1</v>
      </c>
      <c r="F6" s="158">
        <v>34</v>
      </c>
      <c r="G6" s="158">
        <v>21</v>
      </c>
      <c r="H6" s="375">
        <v>1</v>
      </c>
      <c r="I6" s="375">
        <v>0</v>
      </c>
      <c r="J6" s="375">
        <v>5</v>
      </c>
      <c r="K6" s="375">
        <v>3</v>
      </c>
      <c r="L6" s="375">
        <v>0</v>
      </c>
      <c r="M6" s="375">
        <v>1</v>
      </c>
      <c r="N6" s="375">
        <v>1</v>
      </c>
      <c r="O6" s="375">
        <v>0</v>
      </c>
      <c r="P6" s="375">
        <v>0</v>
      </c>
      <c r="Q6" s="375">
        <v>0</v>
      </c>
      <c r="R6" s="375">
        <v>3</v>
      </c>
      <c r="S6" s="162"/>
      <c r="T6" s="169" t="s">
        <v>186</v>
      </c>
      <c r="U6" s="164" t="s">
        <v>116</v>
      </c>
      <c r="V6" s="162" t="s">
        <v>127</v>
      </c>
      <c r="W6" s="162" t="s">
        <v>141</v>
      </c>
      <c r="X6" s="159" t="s">
        <v>112</v>
      </c>
      <c r="Y6" s="165" t="s">
        <v>179</v>
      </c>
      <c r="Z6" s="159">
        <v>1</v>
      </c>
      <c r="AA6" s="159">
        <v>1</v>
      </c>
      <c r="AB6" s="159">
        <v>0</v>
      </c>
      <c r="AC6" s="523">
        <v>0</v>
      </c>
      <c r="AD6" s="159">
        <v>0</v>
      </c>
      <c r="AE6" s="159">
        <v>0</v>
      </c>
      <c r="AF6" s="159">
        <v>0</v>
      </c>
      <c r="AG6" s="523">
        <v>0</v>
      </c>
      <c r="AH6" s="159">
        <v>1</v>
      </c>
      <c r="AI6" s="159">
        <v>1</v>
      </c>
      <c r="AJ6" s="159">
        <v>0</v>
      </c>
      <c r="AK6" s="523">
        <v>0</v>
      </c>
      <c r="AL6" s="159">
        <v>0</v>
      </c>
      <c r="AM6" s="159">
        <v>0</v>
      </c>
      <c r="AN6" s="159">
        <v>0</v>
      </c>
      <c r="AO6" s="523">
        <v>0</v>
      </c>
      <c r="AT6" s="517" t="s">
        <v>507</v>
      </c>
      <c r="AU6" s="518">
        <v>1243</v>
      </c>
    </row>
    <row r="7" spans="1:47" ht="14.95" customHeight="1" thickBot="1" x14ac:dyDescent="0.3">
      <c r="A7" s="155" t="s">
        <v>222</v>
      </c>
      <c r="B7" s="157" t="s">
        <v>41</v>
      </c>
      <c r="C7" s="157" t="s">
        <v>30</v>
      </c>
      <c r="D7" s="157" t="s">
        <v>94</v>
      </c>
      <c r="E7" s="158" t="s">
        <v>3</v>
      </c>
      <c r="F7" s="158">
        <v>42</v>
      </c>
      <c r="G7" s="158">
        <v>43</v>
      </c>
      <c r="H7" s="375">
        <v>1</v>
      </c>
      <c r="I7" s="375">
        <v>1</v>
      </c>
      <c r="J7" s="375">
        <v>6</v>
      </c>
      <c r="K7" s="375">
        <v>6</v>
      </c>
      <c r="L7" s="375">
        <v>0</v>
      </c>
      <c r="M7" s="375">
        <v>0</v>
      </c>
      <c r="N7" s="375">
        <v>1</v>
      </c>
      <c r="O7" s="375">
        <v>0</v>
      </c>
      <c r="P7" s="375">
        <v>1</v>
      </c>
      <c r="Q7" s="375">
        <v>0</v>
      </c>
      <c r="R7" s="375">
        <v>7</v>
      </c>
      <c r="S7" s="159">
        <v>37573</v>
      </c>
      <c r="T7" s="168" t="s">
        <v>321</v>
      </c>
      <c r="U7" s="159" t="s">
        <v>144</v>
      </c>
      <c r="V7" s="159" t="s">
        <v>111</v>
      </c>
      <c r="W7" s="159" t="s">
        <v>115</v>
      </c>
      <c r="X7" s="159" t="s">
        <v>272</v>
      </c>
      <c r="Y7" s="165" t="s">
        <v>131</v>
      </c>
      <c r="Z7" s="159">
        <v>1</v>
      </c>
      <c r="AA7" s="159">
        <v>0</v>
      </c>
      <c r="AB7" s="159">
        <v>0</v>
      </c>
      <c r="AC7" s="523">
        <v>1</v>
      </c>
      <c r="AD7" s="159">
        <v>0</v>
      </c>
      <c r="AE7" s="159">
        <v>0</v>
      </c>
      <c r="AF7" s="159">
        <v>0</v>
      </c>
      <c r="AG7" s="523">
        <v>0</v>
      </c>
      <c r="AH7" s="159">
        <v>1</v>
      </c>
      <c r="AI7" s="159">
        <v>0</v>
      </c>
      <c r="AJ7" s="159">
        <v>0</v>
      </c>
      <c r="AK7" s="523">
        <v>1</v>
      </c>
      <c r="AL7" s="159">
        <v>0</v>
      </c>
      <c r="AM7" s="159">
        <v>0</v>
      </c>
      <c r="AN7" s="159">
        <v>0</v>
      </c>
      <c r="AO7" s="523">
        <v>0</v>
      </c>
      <c r="AP7" s="12"/>
    </row>
    <row r="8" spans="1:47" ht="14.95" customHeight="1" thickBot="1" x14ac:dyDescent="0.3">
      <c r="A8" s="170" t="s">
        <v>562</v>
      </c>
      <c r="B8" s="171" t="s">
        <v>161</v>
      </c>
      <c r="C8" s="171" t="s">
        <v>30</v>
      </c>
      <c r="D8" s="171" t="s">
        <v>586</v>
      </c>
      <c r="E8" s="172" t="s">
        <v>3</v>
      </c>
      <c r="F8" s="172">
        <v>6</v>
      </c>
      <c r="G8" s="172">
        <v>40</v>
      </c>
      <c r="H8" s="374" t="s">
        <v>69</v>
      </c>
      <c r="I8" s="374" t="s">
        <v>69</v>
      </c>
      <c r="J8" s="374">
        <v>0</v>
      </c>
      <c r="K8" s="374">
        <v>0</v>
      </c>
      <c r="L8" s="374">
        <v>0</v>
      </c>
      <c r="M8" s="374">
        <v>2</v>
      </c>
      <c r="N8" s="374">
        <v>1</v>
      </c>
      <c r="O8" s="374">
        <v>0</v>
      </c>
      <c r="P8" s="374" t="s">
        <v>69</v>
      </c>
      <c r="Q8" s="374" t="s">
        <v>69</v>
      </c>
      <c r="R8" s="374">
        <v>6</v>
      </c>
      <c r="S8" s="176"/>
      <c r="T8" s="325" t="s">
        <v>588</v>
      </c>
      <c r="U8" s="176" t="s">
        <v>146</v>
      </c>
      <c r="V8" s="176" t="s">
        <v>115</v>
      </c>
      <c r="W8" s="176" t="s">
        <v>100</v>
      </c>
      <c r="X8" s="176" t="s">
        <v>114</v>
      </c>
      <c r="Y8" s="177" t="s">
        <v>131</v>
      </c>
      <c r="Z8" s="176">
        <v>1</v>
      </c>
      <c r="AA8" s="176">
        <v>0</v>
      </c>
      <c r="AB8" s="176">
        <v>0</v>
      </c>
      <c r="AC8" s="342">
        <v>1</v>
      </c>
      <c r="AD8" s="176">
        <v>1</v>
      </c>
      <c r="AE8" s="176">
        <v>0</v>
      </c>
      <c r="AF8" s="176">
        <v>0</v>
      </c>
      <c r="AG8" s="342">
        <v>1</v>
      </c>
      <c r="AH8" s="176">
        <v>0</v>
      </c>
      <c r="AI8" s="176">
        <v>0</v>
      </c>
      <c r="AJ8" s="176">
        <v>0</v>
      </c>
      <c r="AK8" s="342">
        <v>0</v>
      </c>
      <c r="AL8" s="176">
        <v>0</v>
      </c>
      <c r="AM8" s="176">
        <v>0</v>
      </c>
      <c r="AN8" s="176">
        <v>0</v>
      </c>
      <c r="AO8" s="342">
        <v>0</v>
      </c>
      <c r="AP8" s="12"/>
    </row>
    <row r="9" spans="1:47" ht="14.95" customHeight="1" thickBot="1" x14ac:dyDescent="0.35">
      <c r="A9" s="187" t="s">
        <v>240</v>
      </c>
      <c r="B9" s="188" t="s">
        <v>231</v>
      </c>
      <c r="C9" s="188" t="s">
        <v>32</v>
      </c>
      <c r="D9" s="188" t="s">
        <v>241</v>
      </c>
      <c r="E9" s="184" t="s">
        <v>1</v>
      </c>
      <c r="F9" s="184">
        <v>24</v>
      </c>
      <c r="G9" s="184">
        <v>0</v>
      </c>
      <c r="H9" s="373">
        <v>0</v>
      </c>
      <c r="I9" s="373">
        <v>0</v>
      </c>
      <c r="J9" s="373">
        <v>3</v>
      </c>
      <c r="K9" s="373">
        <v>3</v>
      </c>
      <c r="L9" s="373">
        <v>0</v>
      </c>
      <c r="M9" s="373">
        <v>1</v>
      </c>
      <c r="N9" s="373">
        <v>0</v>
      </c>
      <c r="O9" s="373">
        <v>0</v>
      </c>
      <c r="P9" s="373">
        <v>0</v>
      </c>
      <c r="Q9" s="373">
        <v>0</v>
      </c>
      <c r="R9" s="373">
        <v>0</v>
      </c>
      <c r="S9" s="186">
        <v>7052</v>
      </c>
      <c r="T9" s="363" t="s">
        <v>533</v>
      </c>
      <c r="U9" s="186" t="s">
        <v>116</v>
      </c>
      <c r="V9" s="186" t="s">
        <v>115</v>
      </c>
      <c r="W9" s="186" t="s">
        <v>141</v>
      </c>
      <c r="X9" s="186" t="s">
        <v>146</v>
      </c>
      <c r="Y9" s="191" t="s">
        <v>131</v>
      </c>
      <c r="Z9" s="186">
        <v>1</v>
      </c>
      <c r="AA9" s="186">
        <v>1</v>
      </c>
      <c r="AB9" s="186">
        <v>0</v>
      </c>
      <c r="AC9" s="341">
        <v>0</v>
      </c>
      <c r="AD9" s="186">
        <v>0</v>
      </c>
      <c r="AE9" s="186">
        <v>0</v>
      </c>
      <c r="AF9" s="186">
        <v>0</v>
      </c>
      <c r="AG9" s="341">
        <v>0</v>
      </c>
      <c r="AH9" s="186">
        <v>0</v>
      </c>
      <c r="AI9" s="186">
        <v>0</v>
      </c>
      <c r="AJ9" s="186">
        <v>0</v>
      </c>
      <c r="AK9" s="341">
        <v>0</v>
      </c>
      <c r="AL9" s="186">
        <v>1</v>
      </c>
      <c r="AM9" s="186">
        <v>1</v>
      </c>
      <c r="AN9" s="186">
        <v>0</v>
      </c>
      <c r="AO9" s="186">
        <v>0</v>
      </c>
    </row>
    <row r="10" spans="1:47" ht="14.95" customHeight="1" thickBot="1" x14ac:dyDescent="0.35">
      <c r="A10" s="187" t="s">
        <v>242</v>
      </c>
      <c r="B10" s="188" t="s">
        <v>231</v>
      </c>
      <c r="C10" s="188" t="s">
        <v>243</v>
      </c>
      <c r="D10" s="188" t="s">
        <v>241</v>
      </c>
      <c r="E10" s="184" t="s">
        <v>1</v>
      </c>
      <c r="F10" s="184">
        <v>84</v>
      </c>
      <c r="G10" s="184">
        <v>5</v>
      </c>
      <c r="H10" s="373">
        <v>1</v>
      </c>
      <c r="I10" s="373">
        <v>0</v>
      </c>
      <c r="J10" s="373">
        <v>14</v>
      </c>
      <c r="K10" s="373">
        <v>7</v>
      </c>
      <c r="L10" s="373">
        <v>0</v>
      </c>
      <c r="M10" s="373">
        <v>0</v>
      </c>
      <c r="N10" s="373">
        <v>0</v>
      </c>
      <c r="O10" s="373">
        <v>0</v>
      </c>
      <c r="P10" s="373">
        <v>0</v>
      </c>
      <c r="Q10" s="373">
        <v>0</v>
      </c>
      <c r="R10" s="373">
        <v>1</v>
      </c>
      <c r="S10" s="645">
        <v>13902</v>
      </c>
      <c r="T10" s="363" t="s">
        <v>755</v>
      </c>
      <c r="U10" s="186" t="s">
        <v>145</v>
      </c>
      <c r="V10" s="186" t="s">
        <v>141</v>
      </c>
      <c r="W10" s="186" t="s">
        <v>111</v>
      </c>
      <c r="X10" s="186" t="s">
        <v>117</v>
      </c>
      <c r="Y10" s="191" t="s">
        <v>154</v>
      </c>
      <c r="Z10" s="186">
        <v>1</v>
      </c>
      <c r="AA10" s="186">
        <v>1</v>
      </c>
      <c r="AB10" s="186">
        <v>0</v>
      </c>
      <c r="AC10" s="341">
        <v>0</v>
      </c>
      <c r="AD10" s="186">
        <v>0</v>
      </c>
      <c r="AE10" s="186">
        <v>0</v>
      </c>
      <c r="AF10" s="186">
        <v>0</v>
      </c>
      <c r="AG10" s="341">
        <v>0</v>
      </c>
      <c r="AH10" s="186">
        <v>0</v>
      </c>
      <c r="AI10" s="186">
        <v>0</v>
      </c>
      <c r="AJ10" s="186">
        <v>0</v>
      </c>
      <c r="AK10" s="341">
        <v>0</v>
      </c>
      <c r="AL10" s="186">
        <v>1</v>
      </c>
      <c r="AM10" s="186">
        <v>1</v>
      </c>
      <c r="AN10" s="186">
        <v>0</v>
      </c>
      <c r="AO10" s="186">
        <v>0</v>
      </c>
    </row>
    <row r="11" spans="1:47" ht="14.95" customHeight="1" thickBot="1" x14ac:dyDescent="0.35">
      <c r="A11" s="187" t="s">
        <v>174</v>
      </c>
      <c r="B11" s="188" t="s">
        <v>231</v>
      </c>
      <c r="C11" s="188" t="s">
        <v>95</v>
      </c>
      <c r="D11" s="188" t="s">
        <v>235</v>
      </c>
      <c r="E11" s="184" t="s">
        <v>1</v>
      </c>
      <c r="F11" s="184">
        <v>57</v>
      </c>
      <c r="G11" s="184">
        <v>10</v>
      </c>
      <c r="H11" s="373">
        <v>1</v>
      </c>
      <c r="I11" s="373">
        <v>0</v>
      </c>
      <c r="J11" s="373">
        <v>9</v>
      </c>
      <c r="K11" s="373">
        <v>6</v>
      </c>
      <c r="L11" s="373">
        <v>0</v>
      </c>
      <c r="M11" s="373">
        <v>0</v>
      </c>
      <c r="N11" s="373">
        <v>0</v>
      </c>
      <c r="O11" s="373">
        <v>0</v>
      </c>
      <c r="P11" s="373">
        <v>0</v>
      </c>
      <c r="Q11" s="373">
        <v>0</v>
      </c>
      <c r="R11" s="373">
        <v>1</v>
      </c>
      <c r="S11" s="186">
        <v>13268</v>
      </c>
      <c r="T11" s="363" t="s">
        <v>793</v>
      </c>
      <c r="U11" s="186" t="s">
        <v>114</v>
      </c>
      <c r="V11" s="186" t="s">
        <v>141</v>
      </c>
      <c r="W11" s="186" t="s">
        <v>115</v>
      </c>
      <c r="X11" s="186" t="s">
        <v>272</v>
      </c>
      <c r="Y11" s="191" t="s">
        <v>163</v>
      </c>
      <c r="Z11" s="186">
        <v>1</v>
      </c>
      <c r="AA11" s="186">
        <v>1</v>
      </c>
      <c r="AB11" s="186">
        <v>0</v>
      </c>
      <c r="AC11" s="341">
        <v>0</v>
      </c>
      <c r="AD11" s="186">
        <v>0</v>
      </c>
      <c r="AE11" s="186">
        <v>0</v>
      </c>
      <c r="AF11" s="186">
        <v>0</v>
      </c>
      <c r="AG11" s="341">
        <v>0</v>
      </c>
      <c r="AH11" s="186">
        <v>0</v>
      </c>
      <c r="AI11" s="186">
        <v>0</v>
      </c>
      <c r="AJ11" s="186">
        <v>0</v>
      </c>
      <c r="AK11" s="341">
        <v>0</v>
      </c>
      <c r="AL11" s="186">
        <v>1</v>
      </c>
      <c r="AM11" s="186">
        <v>1</v>
      </c>
      <c r="AN11" s="186">
        <v>0</v>
      </c>
      <c r="AO11" s="341">
        <v>0</v>
      </c>
    </row>
    <row r="12" spans="1:47" ht="14.95" customHeight="1" thickBot="1" x14ac:dyDescent="0.3">
      <c r="A12" s="201" t="s">
        <v>599</v>
      </c>
      <c r="B12" s="202" t="s">
        <v>700</v>
      </c>
      <c r="C12" s="202" t="s">
        <v>35</v>
      </c>
      <c r="D12" s="202" t="s">
        <v>241</v>
      </c>
      <c r="E12" s="184" t="s">
        <v>1</v>
      </c>
      <c r="F12" s="184">
        <v>18</v>
      </c>
      <c r="G12" s="184">
        <v>13</v>
      </c>
      <c r="H12" s="373" t="s">
        <v>69</v>
      </c>
      <c r="I12" s="373" t="s">
        <v>69</v>
      </c>
      <c r="J12" s="373">
        <v>2</v>
      </c>
      <c r="K12" s="373">
        <v>1</v>
      </c>
      <c r="L12" s="373">
        <v>0</v>
      </c>
      <c r="M12" s="373">
        <v>2</v>
      </c>
      <c r="N12" s="373">
        <v>3</v>
      </c>
      <c r="O12" s="373">
        <v>1</v>
      </c>
      <c r="P12" s="373" t="s">
        <v>69</v>
      </c>
      <c r="Q12" s="373" t="s">
        <v>69</v>
      </c>
      <c r="R12" s="373">
        <v>2</v>
      </c>
      <c r="S12" s="186">
        <v>11618</v>
      </c>
      <c r="T12" s="651" t="s">
        <v>813</v>
      </c>
      <c r="U12" s="186" t="s">
        <v>146</v>
      </c>
      <c r="V12" s="186" t="s">
        <v>110</v>
      </c>
      <c r="W12" s="186" t="s">
        <v>139</v>
      </c>
      <c r="X12" s="186" t="s">
        <v>144</v>
      </c>
      <c r="Y12" s="186" t="s">
        <v>145</v>
      </c>
      <c r="Z12" s="186">
        <v>1</v>
      </c>
      <c r="AA12" s="186">
        <v>1</v>
      </c>
      <c r="AB12" s="186">
        <v>0</v>
      </c>
      <c r="AC12" s="341">
        <v>0</v>
      </c>
      <c r="AD12" s="186">
        <v>0</v>
      </c>
      <c r="AE12" s="186">
        <v>0</v>
      </c>
      <c r="AF12" s="186">
        <v>0</v>
      </c>
      <c r="AG12" s="341">
        <v>0</v>
      </c>
      <c r="AH12" s="186">
        <v>0</v>
      </c>
      <c r="AI12" s="186">
        <v>0</v>
      </c>
      <c r="AJ12" s="186">
        <v>0</v>
      </c>
      <c r="AK12" s="341">
        <v>0</v>
      </c>
      <c r="AL12" s="186">
        <v>1</v>
      </c>
      <c r="AM12" s="186">
        <v>1</v>
      </c>
      <c r="AN12" s="186">
        <v>0</v>
      </c>
      <c r="AO12" s="341">
        <v>0</v>
      </c>
    </row>
    <row r="13" spans="1:47" ht="14.95" thickBot="1" x14ac:dyDescent="0.3">
      <c r="A13" s="312" t="s">
        <v>601</v>
      </c>
      <c r="B13" s="167" t="s">
        <v>803</v>
      </c>
      <c r="C13" s="167" t="s">
        <v>30</v>
      </c>
      <c r="D13" s="167" t="s">
        <v>713</v>
      </c>
      <c r="E13" s="158" t="s">
        <v>3</v>
      </c>
      <c r="F13" s="158">
        <v>17</v>
      </c>
      <c r="G13" s="158">
        <v>35</v>
      </c>
      <c r="H13" s="375" t="s">
        <v>69</v>
      </c>
      <c r="I13" s="375" t="s">
        <v>69</v>
      </c>
      <c r="J13" s="375">
        <v>3</v>
      </c>
      <c r="K13" s="375">
        <v>1</v>
      </c>
      <c r="L13" s="375">
        <v>0</v>
      </c>
      <c r="M13" s="375">
        <v>0</v>
      </c>
      <c r="N13" s="375">
        <v>0</v>
      </c>
      <c r="O13" s="375">
        <v>0</v>
      </c>
      <c r="P13" s="375" t="s">
        <v>69</v>
      </c>
      <c r="Q13" s="375" t="s">
        <v>69</v>
      </c>
      <c r="R13" s="375">
        <v>5</v>
      </c>
      <c r="S13" s="159">
        <v>25478</v>
      </c>
      <c r="T13" s="168" t="s">
        <v>173</v>
      </c>
      <c r="U13" s="159" t="s">
        <v>144</v>
      </c>
      <c r="V13" s="159" t="s">
        <v>141</v>
      </c>
      <c r="W13" s="159" t="s">
        <v>139</v>
      </c>
      <c r="X13" s="159" t="s">
        <v>114</v>
      </c>
      <c r="Y13" s="159" t="s">
        <v>252</v>
      </c>
      <c r="Z13" s="159">
        <v>1</v>
      </c>
      <c r="AA13" s="159">
        <v>0</v>
      </c>
      <c r="AB13" s="159">
        <v>0</v>
      </c>
      <c r="AC13" s="523">
        <v>1</v>
      </c>
      <c r="AD13" s="159">
        <v>0</v>
      </c>
      <c r="AE13" s="159">
        <v>0</v>
      </c>
      <c r="AF13" s="159">
        <v>0</v>
      </c>
      <c r="AG13" s="523">
        <v>0</v>
      </c>
      <c r="AH13" s="159">
        <v>1</v>
      </c>
      <c r="AI13" s="159">
        <v>0</v>
      </c>
      <c r="AJ13" s="159">
        <v>0</v>
      </c>
      <c r="AK13" s="523">
        <v>1</v>
      </c>
      <c r="AL13" s="159">
        <v>0</v>
      </c>
      <c r="AM13" s="159">
        <v>0</v>
      </c>
      <c r="AN13" s="159">
        <v>0</v>
      </c>
      <c r="AO13" s="523">
        <v>0</v>
      </c>
    </row>
    <row r="14" spans="1:47" ht="14.95" thickBot="1" x14ac:dyDescent="0.3">
      <c r="A14" s="201" t="s">
        <v>602</v>
      </c>
      <c r="B14" s="202" t="s">
        <v>822</v>
      </c>
      <c r="C14" s="202" t="s">
        <v>72</v>
      </c>
      <c r="D14" s="202" t="s">
        <v>94</v>
      </c>
      <c r="E14" s="184" t="s">
        <v>3</v>
      </c>
      <c r="F14" s="184">
        <v>26</v>
      </c>
      <c r="G14" s="184">
        <v>42</v>
      </c>
      <c r="H14" s="373" t="s">
        <v>69</v>
      </c>
      <c r="I14" s="373" t="s">
        <v>69</v>
      </c>
      <c r="J14" s="373">
        <v>4</v>
      </c>
      <c r="K14" s="373">
        <v>3</v>
      </c>
      <c r="L14" s="373">
        <v>0</v>
      </c>
      <c r="M14" s="373">
        <v>0</v>
      </c>
      <c r="N14" s="373">
        <v>0</v>
      </c>
      <c r="O14" s="373">
        <v>0</v>
      </c>
      <c r="P14" s="373" t="s">
        <v>69</v>
      </c>
      <c r="Q14" s="373" t="s">
        <v>69</v>
      </c>
      <c r="R14" s="373">
        <v>6</v>
      </c>
      <c r="S14" s="186">
        <v>81885</v>
      </c>
      <c r="T14" s="204" t="s">
        <v>275</v>
      </c>
      <c r="U14" s="186" t="s">
        <v>159</v>
      </c>
      <c r="V14" s="186" t="s">
        <v>111</v>
      </c>
      <c r="W14" s="186" t="s">
        <v>110</v>
      </c>
      <c r="X14" s="186" t="s">
        <v>252</v>
      </c>
      <c r="Y14" s="186" t="s">
        <v>116</v>
      </c>
      <c r="Z14" s="186">
        <v>1</v>
      </c>
      <c r="AA14" s="186">
        <v>0</v>
      </c>
      <c r="AB14" s="186">
        <v>0</v>
      </c>
      <c r="AC14" s="341">
        <v>1</v>
      </c>
      <c r="AD14" s="186">
        <v>0</v>
      </c>
      <c r="AE14" s="186">
        <v>0</v>
      </c>
      <c r="AF14" s="186">
        <v>0</v>
      </c>
      <c r="AG14" s="341">
        <v>0</v>
      </c>
      <c r="AH14" s="186">
        <v>0</v>
      </c>
      <c r="AI14" s="186">
        <v>0</v>
      </c>
      <c r="AJ14" s="186">
        <v>0</v>
      </c>
      <c r="AK14" s="341">
        <v>0</v>
      </c>
      <c r="AL14" s="186">
        <v>1</v>
      </c>
      <c r="AM14" s="186">
        <v>0</v>
      </c>
      <c r="AN14" s="186">
        <v>0</v>
      </c>
      <c r="AO14" s="341">
        <v>1</v>
      </c>
    </row>
    <row r="15" spans="1:47" ht="14.95" thickBot="1" x14ac:dyDescent="0.3">
      <c r="A15" s="104"/>
      <c r="B15" s="105"/>
      <c r="C15" s="765" t="s">
        <v>71</v>
      </c>
      <c r="D15" s="766"/>
      <c r="E15" s="767"/>
      <c r="F15" s="430">
        <f>SUM(F3:F7)</f>
        <v>183</v>
      </c>
      <c r="G15" s="430">
        <f t="shared" ref="G15:R15" si="0">SUM(G3:G7)</f>
        <v>106</v>
      </c>
      <c r="H15" s="430">
        <f t="shared" si="0"/>
        <v>4</v>
      </c>
      <c r="I15" s="430">
        <f t="shared" si="0"/>
        <v>1</v>
      </c>
      <c r="J15" s="430">
        <f t="shared" si="0"/>
        <v>24</v>
      </c>
      <c r="K15" s="430">
        <f t="shared" si="0"/>
        <v>20</v>
      </c>
      <c r="L15" s="430">
        <f t="shared" si="0"/>
        <v>1</v>
      </c>
      <c r="M15" s="430">
        <f t="shared" si="0"/>
        <v>6</v>
      </c>
      <c r="N15" s="430">
        <f t="shared" si="0"/>
        <v>2</v>
      </c>
      <c r="O15" s="430">
        <f t="shared" si="0"/>
        <v>1</v>
      </c>
      <c r="P15" s="430">
        <f t="shared" si="0"/>
        <v>1</v>
      </c>
      <c r="Q15" s="430">
        <f t="shared" si="0"/>
        <v>0</v>
      </c>
      <c r="R15" s="430">
        <f t="shared" si="0"/>
        <v>17</v>
      </c>
      <c r="S15" s="431"/>
      <c r="T15" s="431"/>
      <c r="U15" s="431"/>
      <c r="V15" s="431"/>
      <c r="W15" s="431"/>
      <c r="X15" s="426"/>
      <c r="Y15" s="427" t="s">
        <v>71</v>
      </c>
      <c r="Z15" s="430">
        <f t="shared" ref="Z15:AC15" si="1">SUM(Z3:Z7)</f>
        <v>5</v>
      </c>
      <c r="AA15" s="430">
        <f t="shared" si="1"/>
        <v>4</v>
      </c>
      <c r="AB15" s="430">
        <f t="shared" si="1"/>
        <v>0</v>
      </c>
      <c r="AC15" s="430">
        <f t="shared" si="1"/>
        <v>1</v>
      </c>
      <c r="AD15" s="432">
        <f t="shared" ref="AD15:AO15" si="2">SUM(AD3:AD9)</f>
        <v>3</v>
      </c>
      <c r="AE15" s="432">
        <f t="shared" si="2"/>
        <v>2</v>
      </c>
      <c r="AF15" s="432">
        <f t="shared" si="2"/>
        <v>0</v>
      </c>
      <c r="AG15" s="432">
        <f t="shared" si="2"/>
        <v>1</v>
      </c>
      <c r="AH15" s="433">
        <f t="shared" si="2"/>
        <v>3</v>
      </c>
      <c r="AI15" s="433">
        <f t="shared" si="2"/>
        <v>2</v>
      </c>
      <c r="AJ15" s="433">
        <f t="shared" si="2"/>
        <v>0</v>
      </c>
      <c r="AK15" s="433">
        <f t="shared" si="2"/>
        <v>1</v>
      </c>
      <c r="AL15" s="430">
        <f t="shared" si="2"/>
        <v>1</v>
      </c>
      <c r="AM15" s="430">
        <f t="shared" si="2"/>
        <v>1</v>
      </c>
      <c r="AN15" s="430">
        <f t="shared" si="2"/>
        <v>0</v>
      </c>
      <c r="AO15" s="430">
        <f t="shared" si="2"/>
        <v>0</v>
      </c>
    </row>
    <row r="16" spans="1:47" ht="14.95" thickBot="1" x14ac:dyDescent="0.3">
      <c r="A16" s="104"/>
      <c r="B16" s="105"/>
      <c r="C16" s="731" t="s">
        <v>237</v>
      </c>
      <c r="D16" s="732"/>
      <c r="E16" s="733"/>
      <c r="F16" s="457">
        <f>SUM(F9:F14)</f>
        <v>226</v>
      </c>
      <c r="G16" s="457">
        <f t="shared" ref="G16:R16" si="3">SUM(G9:G14)</f>
        <v>105</v>
      </c>
      <c r="H16" s="457">
        <f t="shared" si="3"/>
        <v>2</v>
      </c>
      <c r="I16" s="457">
        <f t="shared" si="3"/>
        <v>0</v>
      </c>
      <c r="J16" s="457">
        <f t="shared" si="3"/>
        <v>35</v>
      </c>
      <c r="K16" s="457">
        <f t="shared" si="3"/>
        <v>21</v>
      </c>
      <c r="L16" s="457">
        <f t="shared" si="3"/>
        <v>0</v>
      </c>
      <c r="M16" s="457">
        <f t="shared" si="3"/>
        <v>3</v>
      </c>
      <c r="N16" s="457">
        <f t="shared" si="3"/>
        <v>3</v>
      </c>
      <c r="O16" s="457">
        <f t="shared" si="3"/>
        <v>1</v>
      </c>
      <c r="P16" s="457">
        <f t="shared" si="3"/>
        <v>0</v>
      </c>
      <c r="Q16" s="457">
        <f t="shared" si="3"/>
        <v>0</v>
      </c>
      <c r="R16" s="457">
        <f t="shared" si="3"/>
        <v>15</v>
      </c>
      <c r="S16" s="463"/>
      <c r="T16" s="463"/>
      <c r="U16" s="463"/>
      <c r="V16" s="463"/>
      <c r="W16" s="463"/>
      <c r="X16" s="459"/>
      <c r="Y16" s="460" t="s">
        <v>237</v>
      </c>
      <c r="Z16" s="457">
        <f t="shared" ref="Z16:AO16" si="4">SUM(Z9:Z14)</f>
        <v>6</v>
      </c>
      <c r="AA16" s="457">
        <f t="shared" si="4"/>
        <v>4</v>
      </c>
      <c r="AB16" s="457">
        <f t="shared" si="4"/>
        <v>0</v>
      </c>
      <c r="AC16" s="457">
        <f t="shared" si="4"/>
        <v>2</v>
      </c>
      <c r="AD16" s="461">
        <f t="shared" si="4"/>
        <v>0</v>
      </c>
      <c r="AE16" s="461">
        <f t="shared" si="4"/>
        <v>0</v>
      </c>
      <c r="AF16" s="461">
        <f t="shared" si="4"/>
        <v>0</v>
      </c>
      <c r="AG16" s="461">
        <f t="shared" si="4"/>
        <v>0</v>
      </c>
      <c r="AH16" s="462">
        <f t="shared" si="4"/>
        <v>1</v>
      </c>
      <c r="AI16" s="462">
        <f t="shared" si="4"/>
        <v>0</v>
      </c>
      <c r="AJ16" s="462">
        <f t="shared" si="4"/>
        <v>0</v>
      </c>
      <c r="AK16" s="462">
        <f t="shared" si="4"/>
        <v>1</v>
      </c>
      <c r="AL16" s="457">
        <f t="shared" si="4"/>
        <v>5</v>
      </c>
      <c r="AM16" s="457">
        <f t="shared" si="4"/>
        <v>4</v>
      </c>
      <c r="AN16" s="457">
        <f t="shared" si="4"/>
        <v>0</v>
      </c>
      <c r="AO16" s="457">
        <f t="shared" si="4"/>
        <v>1</v>
      </c>
    </row>
    <row r="17" spans="1:41" ht="14.95" thickBot="1" x14ac:dyDescent="0.3">
      <c r="A17" s="104"/>
      <c r="B17" s="105"/>
      <c r="C17" s="728" t="s">
        <v>70</v>
      </c>
      <c r="D17" s="729"/>
      <c r="E17" s="730"/>
      <c r="F17" s="128">
        <f>SUM(F3:F14)</f>
        <v>415</v>
      </c>
      <c r="G17" s="128">
        <f t="shared" ref="G17:R17" si="5">SUM(G3:G14)</f>
        <v>251</v>
      </c>
      <c r="H17" s="152">
        <f t="shared" si="5"/>
        <v>6</v>
      </c>
      <c r="I17" s="128">
        <f t="shared" si="5"/>
        <v>1</v>
      </c>
      <c r="J17" s="128">
        <f t="shared" si="5"/>
        <v>59</v>
      </c>
      <c r="K17" s="128">
        <f t="shared" si="5"/>
        <v>41</v>
      </c>
      <c r="L17" s="128">
        <f t="shared" si="5"/>
        <v>1</v>
      </c>
      <c r="M17" s="128">
        <f t="shared" si="5"/>
        <v>11</v>
      </c>
      <c r="N17" s="128">
        <f t="shared" si="5"/>
        <v>6</v>
      </c>
      <c r="O17" s="128">
        <f t="shared" si="5"/>
        <v>2</v>
      </c>
      <c r="P17" s="128">
        <f t="shared" si="5"/>
        <v>1</v>
      </c>
      <c r="Q17" s="128">
        <f t="shared" si="5"/>
        <v>0</v>
      </c>
      <c r="R17" s="128">
        <f t="shared" si="5"/>
        <v>38</v>
      </c>
      <c r="S17" s="125"/>
      <c r="T17" s="125"/>
      <c r="U17" s="125"/>
      <c r="V17" s="125"/>
      <c r="W17" s="125"/>
      <c r="X17" s="12"/>
      <c r="Y17" s="133" t="s">
        <v>70</v>
      </c>
      <c r="Z17" s="128">
        <f t="shared" ref="Z17:AO17" si="6">SUM(Z3:Z14)</f>
        <v>12</v>
      </c>
      <c r="AA17" s="128">
        <f t="shared" si="6"/>
        <v>8</v>
      </c>
      <c r="AB17" s="128">
        <f t="shared" si="6"/>
        <v>0</v>
      </c>
      <c r="AC17" s="128">
        <f t="shared" si="6"/>
        <v>4</v>
      </c>
      <c r="AD17" s="126">
        <f t="shared" si="6"/>
        <v>3</v>
      </c>
      <c r="AE17" s="126">
        <f t="shared" si="6"/>
        <v>2</v>
      </c>
      <c r="AF17" s="126">
        <f t="shared" si="6"/>
        <v>0</v>
      </c>
      <c r="AG17" s="126">
        <f t="shared" si="6"/>
        <v>1</v>
      </c>
      <c r="AH17" s="127">
        <f t="shared" si="6"/>
        <v>4</v>
      </c>
      <c r="AI17" s="127">
        <f t="shared" si="6"/>
        <v>2</v>
      </c>
      <c r="AJ17" s="127">
        <f t="shared" si="6"/>
        <v>0</v>
      </c>
      <c r="AK17" s="127">
        <f t="shared" si="6"/>
        <v>2</v>
      </c>
      <c r="AL17" s="128">
        <f t="shared" si="6"/>
        <v>5</v>
      </c>
      <c r="AM17" s="128">
        <f t="shared" si="6"/>
        <v>4</v>
      </c>
      <c r="AN17" s="128">
        <f t="shared" si="6"/>
        <v>0</v>
      </c>
      <c r="AO17" s="128">
        <f t="shared" si="6"/>
        <v>1</v>
      </c>
    </row>
    <row r="18" spans="1:41" x14ac:dyDescent="0.25">
      <c r="A18" s="727" t="s">
        <v>53</v>
      </c>
      <c r="B18" s="687"/>
      <c r="C18" s="687"/>
      <c r="D18" s="687"/>
      <c r="E18" s="687"/>
      <c r="F18" s="687"/>
      <c r="G18" s="687"/>
      <c r="H18" s="687"/>
      <c r="I18" s="687"/>
      <c r="J18" s="687"/>
      <c r="K18" s="687"/>
      <c r="L18" s="687"/>
      <c r="M18" s="687"/>
      <c r="N18" s="687"/>
      <c r="O18" s="687"/>
      <c r="P18" s="687"/>
      <c r="Q18" s="687"/>
      <c r="R18" s="687"/>
      <c r="S18" s="687"/>
      <c r="T18" s="687"/>
      <c r="U18" s="687"/>
      <c r="V18" s="687"/>
      <c r="W18" s="687"/>
      <c r="X18" s="687"/>
      <c r="Y18" s="687"/>
      <c r="Z18" s="687"/>
      <c r="AA18" s="687"/>
      <c r="AB18" s="687"/>
      <c r="AC18" s="687"/>
      <c r="AD18" s="687"/>
      <c r="AE18" s="687"/>
      <c r="AF18" s="687"/>
      <c r="AG18" s="687"/>
      <c r="AH18" s="687"/>
      <c r="AI18" s="687"/>
      <c r="AJ18" s="687"/>
      <c r="AK18" s="687"/>
      <c r="AL18" s="687"/>
      <c r="AM18" s="687"/>
      <c r="AN18" s="687"/>
      <c r="AO18" s="687"/>
    </row>
    <row r="19" spans="1:41" x14ac:dyDescent="0.25">
      <c r="A19" t="s">
        <v>214</v>
      </c>
      <c r="F19" s="13"/>
      <c r="G19" s="13"/>
      <c r="H19" s="12"/>
      <c r="I19" s="13"/>
      <c r="J19" s="13"/>
      <c r="K19" s="13"/>
      <c r="L19" s="13"/>
      <c r="M19" s="13"/>
      <c r="N19" s="13"/>
      <c r="O19" s="13"/>
      <c r="P19" s="13"/>
      <c r="Q19" s="13"/>
      <c r="R19" s="13"/>
    </row>
    <row r="20" spans="1:41" x14ac:dyDescent="0.25">
      <c r="A20" t="s">
        <v>220</v>
      </c>
      <c r="F20" s="13"/>
      <c r="G20" s="13"/>
      <c r="H20" s="12"/>
      <c r="I20" s="13"/>
      <c r="J20" s="13"/>
      <c r="K20" s="13"/>
      <c r="L20" s="13"/>
      <c r="M20" s="13"/>
      <c r="N20" s="13"/>
      <c r="O20" s="13"/>
      <c r="P20" s="13"/>
      <c r="Q20" s="13"/>
      <c r="R20" s="13"/>
    </row>
    <row r="21" spans="1:41" x14ac:dyDescent="0.25">
      <c r="A21" t="s">
        <v>587</v>
      </c>
      <c r="F21" s="13"/>
      <c r="G21" s="13"/>
      <c r="H21" s="12"/>
      <c r="I21" s="13"/>
      <c r="J21" s="13"/>
      <c r="K21" s="13"/>
      <c r="L21" s="13"/>
      <c r="M21" s="13"/>
      <c r="N21" s="13"/>
      <c r="O21" s="13"/>
      <c r="P21" s="13"/>
      <c r="Q21" s="13"/>
      <c r="R21" s="13"/>
    </row>
    <row r="22" spans="1:41" x14ac:dyDescent="0.25">
      <c r="A22" t="s">
        <v>812</v>
      </c>
      <c r="F22" s="13"/>
      <c r="G22" s="13"/>
      <c r="H22" s="12"/>
      <c r="I22" s="13"/>
      <c r="J22" s="13"/>
      <c r="K22" s="13"/>
      <c r="L22" s="13"/>
      <c r="M22" s="13"/>
      <c r="N22" s="13"/>
      <c r="O22" s="13"/>
      <c r="P22" s="13"/>
      <c r="Q22" s="13"/>
      <c r="R22" s="13"/>
    </row>
    <row r="23" spans="1:41" x14ac:dyDescent="0.25">
      <c r="A23" s="727" t="s">
        <v>814</v>
      </c>
      <c r="B23" s="687"/>
      <c r="C23" s="687"/>
      <c r="D23" s="687"/>
      <c r="E23" s="687"/>
      <c r="F23" s="687"/>
      <c r="G23" s="687"/>
      <c r="H23" s="687"/>
      <c r="I23" s="687"/>
      <c r="J23" s="687"/>
      <c r="K23" s="687"/>
      <c r="L23" s="687"/>
      <c r="M23" s="687"/>
      <c r="N23" s="687"/>
      <c r="O23" s="687"/>
      <c r="P23" s="687"/>
      <c r="Q23" s="687"/>
      <c r="R23" s="687"/>
      <c r="S23" s="687"/>
      <c r="T23" s="687"/>
      <c r="U23" s="687"/>
      <c r="V23" s="687"/>
      <c r="W23" s="687"/>
      <c r="X23" s="687"/>
      <c r="Y23" s="687"/>
      <c r="Z23" s="687"/>
      <c r="AA23" s="687"/>
      <c r="AB23" s="687"/>
      <c r="AC23" s="687"/>
      <c r="AD23" s="687"/>
      <c r="AE23" s="687"/>
      <c r="AF23" s="687"/>
      <c r="AG23" s="687"/>
      <c r="AH23" s="687"/>
      <c r="AI23" s="687"/>
      <c r="AJ23" s="687"/>
      <c r="AK23" s="687"/>
      <c r="AL23" s="687"/>
      <c r="AM23" s="687"/>
      <c r="AN23" s="687"/>
      <c r="AO23" s="687"/>
    </row>
    <row r="24" spans="1:41" x14ac:dyDescent="0.25">
      <c r="A24" s="727" t="s">
        <v>823</v>
      </c>
      <c r="B24" s="687"/>
      <c r="C24" s="687"/>
      <c r="D24" s="687"/>
      <c r="E24" s="687"/>
      <c r="F24" s="687"/>
      <c r="G24" s="687"/>
      <c r="H24" s="687"/>
      <c r="I24" s="687"/>
      <c r="J24" s="687"/>
      <c r="K24" s="687"/>
      <c r="L24" s="687"/>
      <c r="M24" s="687"/>
      <c r="N24" s="687"/>
      <c r="O24" s="687"/>
      <c r="P24" s="687"/>
      <c r="Q24" s="687"/>
      <c r="R24" s="687"/>
    </row>
    <row r="25" spans="1:41" x14ac:dyDescent="0.25">
      <c r="A25" s="727" t="s">
        <v>287</v>
      </c>
      <c r="B25" s="687"/>
      <c r="C25" s="687"/>
      <c r="D25" s="687"/>
      <c r="E25" s="687"/>
      <c r="F25" s="687"/>
      <c r="G25" s="687"/>
      <c r="H25" s="687"/>
      <c r="I25" s="687"/>
      <c r="J25" s="687"/>
      <c r="K25" s="687"/>
      <c r="L25" s="687"/>
      <c r="M25" s="687"/>
      <c r="N25" s="687"/>
      <c r="O25" s="687"/>
      <c r="P25" s="687"/>
      <c r="Q25" s="687"/>
      <c r="R25" s="687"/>
      <c r="S25" s="687"/>
      <c r="T25" s="687"/>
      <c r="U25" s="687"/>
      <c r="V25" s="687"/>
      <c r="W25" s="687"/>
      <c r="X25" s="687"/>
      <c r="Y25" s="687"/>
      <c r="Z25" s="687"/>
      <c r="AA25" s="687"/>
      <c r="AB25" s="687"/>
      <c r="AC25" s="687"/>
      <c r="AD25" s="687"/>
      <c r="AE25" s="687"/>
      <c r="AF25" s="687"/>
      <c r="AG25" s="687"/>
      <c r="AH25" s="687"/>
      <c r="AI25" s="687"/>
      <c r="AJ25" s="687"/>
      <c r="AK25" s="687"/>
      <c r="AL25" s="687"/>
      <c r="AM25" s="687"/>
      <c r="AN25" s="687"/>
      <c r="AO25" s="687"/>
    </row>
    <row r="26" spans="1:41" x14ac:dyDescent="0.25">
      <c r="A26" s="313"/>
      <c r="B26" s="73" t="s">
        <v>40</v>
      </c>
      <c r="C26" s="73"/>
    </row>
    <row r="27" spans="1:41" x14ac:dyDescent="0.25">
      <c r="A27" s="314"/>
      <c r="B27" s="73" t="s">
        <v>38</v>
      </c>
      <c r="C27" s="73"/>
    </row>
    <row r="28" spans="1:41" x14ac:dyDescent="0.25">
      <c r="A28" s="315"/>
      <c r="B28" s="73" t="s">
        <v>39</v>
      </c>
      <c r="C28" s="73"/>
    </row>
    <row r="29" spans="1:41" ht="16.3" x14ac:dyDescent="0.3">
      <c r="A29" s="681" t="s">
        <v>28</v>
      </c>
    </row>
  </sheetData>
  <mergeCells count="17">
    <mergeCell ref="A1:C1"/>
    <mergeCell ref="E1:G1"/>
    <mergeCell ref="H1:I1"/>
    <mergeCell ref="J1:M1"/>
    <mergeCell ref="C15:E15"/>
    <mergeCell ref="Z1:AC1"/>
    <mergeCell ref="AD1:AG1"/>
    <mergeCell ref="AH1:AK1"/>
    <mergeCell ref="AL1:AO1"/>
    <mergeCell ref="N1:O1"/>
    <mergeCell ref="P1:R1"/>
    <mergeCell ref="A24:R24"/>
    <mergeCell ref="A25:AO25"/>
    <mergeCell ref="C16:E16"/>
    <mergeCell ref="C17:E17"/>
    <mergeCell ref="A18:AO18"/>
    <mergeCell ref="A23:AO23"/>
  </mergeCells>
  <pageMargins left="0.7" right="0.7" top="0.75" bottom="0.75" header="0.3" footer="0.3"/>
  <pageSetup paperSize="9" orientation="portrait" r:id="rId1"/>
  <ignoredErrors>
    <ignoredError sqref="F15:AC15 AD15:AO15 S16:Y16 F16:R16 Z16:AO16" formulaRange="1"/>
    <ignoredError sqref="T6 T8 T14" twoDigitTextYear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U27"/>
  <sheetViews>
    <sheetView workbookViewId="0">
      <pane ySplit="2" topLeftCell="A3" activePane="bottomLeft" state="frozen"/>
      <selection pane="bottomLeft" activeCell="A27" sqref="A27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125" customWidth="1"/>
    <col min="5" max="13" width="3.75" customWidth="1"/>
    <col min="14" max="14" width="4.125" customWidth="1"/>
    <col min="15" max="18" width="3.75" customWidth="1"/>
    <col min="19" max="20" width="6.25" customWidth="1"/>
    <col min="21" max="21" width="23.625" bestFit="1" customWidth="1"/>
    <col min="22" max="22" width="21.875" bestFit="1" customWidth="1"/>
    <col min="23" max="23" width="21.625" bestFit="1" customWidth="1"/>
    <col min="24" max="24" width="21" bestFit="1" customWidth="1"/>
    <col min="25" max="25" width="24.375" bestFit="1" customWidth="1"/>
    <col min="26" max="41" width="3.75" customWidth="1"/>
    <col min="46" max="46" width="9.875" bestFit="1" customWidth="1"/>
  </cols>
  <sheetData>
    <row r="1" spans="1:47" ht="14.95" customHeight="1" thickBot="1" x14ac:dyDescent="0.3">
      <c r="A1" s="806" t="s">
        <v>202</v>
      </c>
      <c r="B1" s="807"/>
      <c r="C1" s="807"/>
      <c r="D1" s="43"/>
      <c r="E1" s="808" t="s">
        <v>24</v>
      </c>
      <c r="F1" s="809"/>
      <c r="G1" s="810"/>
      <c r="H1" s="808" t="s">
        <v>23</v>
      </c>
      <c r="I1" s="810"/>
      <c r="J1" s="803" t="s">
        <v>6</v>
      </c>
      <c r="K1" s="804"/>
      <c r="L1" s="804"/>
      <c r="M1" s="805"/>
      <c r="N1" s="803" t="s">
        <v>7</v>
      </c>
      <c r="O1" s="805"/>
      <c r="P1" s="803" t="s">
        <v>25</v>
      </c>
      <c r="Q1" s="804"/>
      <c r="R1" s="805"/>
      <c r="S1" s="130" t="s">
        <v>8</v>
      </c>
      <c r="T1" s="130" t="s">
        <v>9</v>
      </c>
      <c r="U1" s="18" t="s">
        <v>10</v>
      </c>
      <c r="V1" s="17" t="s">
        <v>11</v>
      </c>
      <c r="W1" s="18" t="s">
        <v>109</v>
      </c>
      <c r="X1" s="19" t="s">
        <v>26</v>
      </c>
      <c r="Y1" s="47" t="s">
        <v>27</v>
      </c>
      <c r="Z1" s="800" t="s">
        <v>20</v>
      </c>
      <c r="AA1" s="801"/>
      <c r="AB1" s="801"/>
      <c r="AC1" s="802"/>
      <c r="AD1" s="800" t="s">
        <v>56</v>
      </c>
      <c r="AE1" s="801"/>
      <c r="AF1" s="801"/>
      <c r="AG1" s="802"/>
      <c r="AH1" s="800" t="s">
        <v>57</v>
      </c>
      <c r="AI1" s="801"/>
      <c r="AJ1" s="801"/>
      <c r="AK1" s="802"/>
      <c r="AL1" s="800" t="s">
        <v>58</v>
      </c>
      <c r="AM1" s="801"/>
      <c r="AN1" s="801"/>
      <c r="AO1" s="802"/>
      <c r="AT1" s="73" t="s">
        <v>508</v>
      </c>
    </row>
    <row r="2" spans="1:47" ht="14.95" customHeight="1" thickBot="1" x14ac:dyDescent="0.3">
      <c r="A2" s="20" t="s">
        <v>19</v>
      </c>
      <c r="B2" s="21" t="s">
        <v>18</v>
      </c>
      <c r="C2" s="22" t="s">
        <v>17</v>
      </c>
      <c r="D2" s="22" t="s">
        <v>37</v>
      </c>
      <c r="E2" s="23" t="s">
        <v>16</v>
      </c>
      <c r="F2" s="23" t="s">
        <v>4</v>
      </c>
      <c r="G2" s="23" t="s">
        <v>5</v>
      </c>
      <c r="H2" s="24" t="s">
        <v>12</v>
      </c>
      <c r="I2" s="24" t="s">
        <v>3</v>
      </c>
      <c r="J2" s="24" t="s">
        <v>12</v>
      </c>
      <c r="K2" s="24" t="s">
        <v>13</v>
      </c>
      <c r="L2" s="24" t="s">
        <v>2</v>
      </c>
      <c r="M2" s="24" t="s">
        <v>14</v>
      </c>
      <c r="N2" s="24" t="s">
        <v>15</v>
      </c>
      <c r="O2" s="24" t="s">
        <v>16</v>
      </c>
      <c r="P2" s="24" t="s">
        <v>21</v>
      </c>
      <c r="Q2" s="24" t="s">
        <v>22</v>
      </c>
      <c r="R2" s="24" t="s">
        <v>12</v>
      </c>
      <c r="S2" s="25"/>
      <c r="T2" s="26"/>
      <c r="U2" s="27"/>
      <c r="V2" s="25"/>
      <c r="W2" s="27"/>
      <c r="X2" s="28"/>
      <c r="Y2" s="29"/>
      <c r="Z2" s="111" t="s">
        <v>0</v>
      </c>
      <c r="AA2" s="111" t="s">
        <v>1</v>
      </c>
      <c r="AB2" s="111" t="s">
        <v>2</v>
      </c>
      <c r="AC2" s="111" t="s">
        <v>3</v>
      </c>
      <c r="AD2" s="111" t="s">
        <v>0</v>
      </c>
      <c r="AE2" s="111" t="s">
        <v>1</v>
      </c>
      <c r="AF2" s="111" t="s">
        <v>2</v>
      </c>
      <c r="AG2" s="111" t="s">
        <v>3</v>
      </c>
      <c r="AH2" s="111" t="s">
        <v>0</v>
      </c>
      <c r="AI2" s="111" t="s">
        <v>1</v>
      </c>
      <c r="AJ2" s="111" t="s">
        <v>2</v>
      </c>
      <c r="AK2" s="111" t="s">
        <v>3</v>
      </c>
      <c r="AL2" s="111" t="s">
        <v>0</v>
      </c>
      <c r="AM2" s="111" t="s">
        <v>1</v>
      </c>
      <c r="AN2" s="111" t="s">
        <v>2</v>
      </c>
      <c r="AO2" s="111" t="s">
        <v>3</v>
      </c>
      <c r="AT2" s="515" t="s">
        <v>503</v>
      </c>
      <c r="AU2" s="516">
        <v>38</v>
      </c>
    </row>
    <row r="3" spans="1:47" ht="14.95" customHeight="1" thickBot="1" x14ac:dyDescent="0.3">
      <c r="A3" s="170" t="s">
        <v>207</v>
      </c>
      <c r="B3" s="182" t="s">
        <v>41</v>
      </c>
      <c r="C3" s="171" t="s">
        <v>33</v>
      </c>
      <c r="D3" s="171" t="s">
        <v>108</v>
      </c>
      <c r="E3" s="172" t="s">
        <v>3</v>
      </c>
      <c r="F3" s="172">
        <v>15</v>
      </c>
      <c r="G3" s="172">
        <v>27</v>
      </c>
      <c r="H3" s="374">
        <v>0</v>
      </c>
      <c r="I3" s="374">
        <v>0</v>
      </c>
      <c r="J3" s="374">
        <v>3</v>
      </c>
      <c r="K3" s="374">
        <v>0</v>
      </c>
      <c r="L3" s="374">
        <v>0</v>
      </c>
      <c r="M3" s="374">
        <v>0</v>
      </c>
      <c r="N3" s="374">
        <v>0</v>
      </c>
      <c r="O3" s="374">
        <v>0</v>
      </c>
      <c r="P3" s="374">
        <v>0</v>
      </c>
      <c r="Q3" s="374">
        <v>0</v>
      </c>
      <c r="R3" s="374">
        <v>3</v>
      </c>
      <c r="S3" s="173"/>
      <c r="T3" s="174" t="s">
        <v>177</v>
      </c>
      <c r="U3" s="175" t="s">
        <v>247</v>
      </c>
      <c r="V3" s="173" t="s">
        <v>141</v>
      </c>
      <c r="W3" s="173" t="s">
        <v>111</v>
      </c>
      <c r="X3" s="176" t="s">
        <v>117</v>
      </c>
      <c r="Y3" s="177" t="s">
        <v>154</v>
      </c>
      <c r="Z3" s="176">
        <v>1</v>
      </c>
      <c r="AA3" s="176">
        <v>0</v>
      </c>
      <c r="AB3" s="176">
        <v>0</v>
      </c>
      <c r="AC3" s="342">
        <v>1</v>
      </c>
      <c r="AD3" s="176">
        <v>1</v>
      </c>
      <c r="AE3" s="176">
        <v>0</v>
      </c>
      <c r="AF3" s="176">
        <v>0</v>
      </c>
      <c r="AG3" s="342">
        <v>1</v>
      </c>
      <c r="AH3" s="176">
        <v>0</v>
      </c>
      <c r="AI3" s="176">
        <v>0</v>
      </c>
      <c r="AJ3" s="176">
        <v>0</v>
      </c>
      <c r="AK3" s="342">
        <v>0</v>
      </c>
      <c r="AL3" s="176">
        <v>0</v>
      </c>
      <c r="AM3" s="176">
        <v>0</v>
      </c>
      <c r="AN3" s="176">
        <v>0</v>
      </c>
      <c r="AO3" s="342">
        <v>0</v>
      </c>
      <c r="AT3" s="517" t="s">
        <v>504</v>
      </c>
      <c r="AU3" s="518">
        <v>17</v>
      </c>
    </row>
    <row r="4" spans="1:47" ht="14.95" customHeight="1" thickBot="1" x14ac:dyDescent="0.35">
      <c r="A4" s="155" t="s">
        <v>105</v>
      </c>
      <c r="B4" s="157" t="s">
        <v>41</v>
      </c>
      <c r="C4" s="157" t="s">
        <v>32</v>
      </c>
      <c r="D4" s="157" t="s">
        <v>211</v>
      </c>
      <c r="E4" s="158" t="s">
        <v>1</v>
      </c>
      <c r="F4" s="158">
        <v>54</v>
      </c>
      <c r="G4" s="158">
        <v>12</v>
      </c>
      <c r="H4" s="375">
        <v>1</v>
      </c>
      <c r="I4" s="375">
        <v>0</v>
      </c>
      <c r="J4" s="375">
        <v>8</v>
      </c>
      <c r="K4" s="375">
        <v>7</v>
      </c>
      <c r="L4" s="375">
        <v>0</v>
      </c>
      <c r="M4" s="375">
        <v>0</v>
      </c>
      <c r="N4" s="375">
        <v>1</v>
      </c>
      <c r="O4" s="375">
        <v>0</v>
      </c>
      <c r="P4" s="375">
        <v>0</v>
      </c>
      <c r="Q4" s="375">
        <v>0</v>
      </c>
      <c r="R4" s="375">
        <v>2</v>
      </c>
      <c r="S4" s="162">
        <v>3337</v>
      </c>
      <c r="T4" s="163" t="s">
        <v>277</v>
      </c>
      <c r="U4" s="164" t="s">
        <v>159</v>
      </c>
      <c r="V4" s="162" t="s">
        <v>160</v>
      </c>
      <c r="W4" s="162" t="s">
        <v>110</v>
      </c>
      <c r="X4" s="159" t="s">
        <v>128</v>
      </c>
      <c r="Y4" s="165" t="s">
        <v>155</v>
      </c>
      <c r="Z4" s="159">
        <v>1</v>
      </c>
      <c r="AA4" s="159">
        <v>1</v>
      </c>
      <c r="AB4" s="159">
        <v>0</v>
      </c>
      <c r="AC4" s="523">
        <v>0</v>
      </c>
      <c r="AD4" s="159">
        <v>0</v>
      </c>
      <c r="AE4" s="159">
        <v>0</v>
      </c>
      <c r="AF4" s="159">
        <v>0</v>
      </c>
      <c r="AG4" s="523">
        <v>0</v>
      </c>
      <c r="AH4" s="159">
        <v>1</v>
      </c>
      <c r="AI4" s="159">
        <v>1</v>
      </c>
      <c r="AJ4" s="159">
        <v>0</v>
      </c>
      <c r="AK4" s="523">
        <v>0</v>
      </c>
      <c r="AL4" s="159">
        <v>0</v>
      </c>
      <c r="AM4" s="159">
        <v>0</v>
      </c>
      <c r="AN4" s="159">
        <v>0</v>
      </c>
      <c r="AO4" s="523">
        <v>0</v>
      </c>
      <c r="AT4" s="517" t="s">
        <v>505</v>
      </c>
      <c r="AU4" s="518">
        <v>0</v>
      </c>
    </row>
    <row r="5" spans="1:47" ht="14.95" customHeight="1" thickBot="1" x14ac:dyDescent="0.3">
      <c r="A5" s="170" t="s">
        <v>212</v>
      </c>
      <c r="B5" s="171" t="s">
        <v>41</v>
      </c>
      <c r="C5" s="171" t="s">
        <v>30</v>
      </c>
      <c r="D5" s="171" t="s">
        <v>218</v>
      </c>
      <c r="E5" s="172" t="s">
        <v>3</v>
      </c>
      <c r="F5" s="172">
        <v>5</v>
      </c>
      <c r="G5" s="172">
        <v>49</v>
      </c>
      <c r="H5" s="374">
        <v>0</v>
      </c>
      <c r="I5" s="374">
        <v>0</v>
      </c>
      <c r="J5" s="374">
        <v>1</v>
      </c>
      <c r="K5" s="374">
        <v>0</v>
      </c>
      <c r="L5" s="374">
        <v>0</v>
      </c>
      <c r="M5" s="374">
        <v>0</v>
      </c>
      <c r="N5" s="374">
        <v>1</v>
      </c>
      <c r="O5" s="374">
        <v>0</v>
      </c>
      <c r="P5" s="374">
        <v>1</v>
      </c>
      <c r="Q5" s="374">
        <v>0</v>
      </c>
      <c r="R5" s="374">
        <v>7</v>
      </c>
      <c r="S5" s="173"/>
      <c r="T5" s="174" t="s">
        <v>173</v>
      </c>
      <c r="U5" s="175" t="s">
        <v>119</v>
      </c>
      <c r="V5" s="173" t="s">
        <v>139</v>
      </c>
      <c r="W5" s="173" t="s">
        <v>136</v>
      </c>
      <c r="X5" s="176" t="s">
        <v>114</v>
      </c>
      <c r="Y5" s="177" t="s">
        <v>132</v>
      </c>
      <c r="Z5" s="176">
        <v>1</v>
      </c>
      <c r="AA5" s="176">
        <v>0</v>
      </c>
      <c r="AB5" s="176">
        <v>0</v>
      </c>
      <c r="AC5" s="342">
        <v>1</v>
      </c>
      <c r="AD5" s="176">
        <v>1</v>
      </c>
      <c r="AE5" s="176">
        <v>0</v>
      </c>
      <c r="AF5" s="176">
        <v>0</v>
      </c>
      <c r="AG5" s="342">
        <v>1</v>
      </c>
      <c r="AH5" s="176">
        <v>0</v>
      </c>
      <c r="AI5" s="176">
        <v>0</v>
      </c>
      <c r="AJ5" s="176">
        <v>0</v>
      </c>
      <c r="AK5" s="342">
        <v>0</v>
      </c>
      <c r="AL5" s="176">
        <v>0</v>
      </c>
      <c r="AM5" s="176">
        <v>0</v>
      </c>
      <c r="AN5" s="176">
        <v>0</v>
      </c>
      <c r="AO5" s="342">
        <v>0</v>
      </c>
      <c r="AT5" s="517" t="s">
        <v>506</v>
      </c>
      <c r="AU5" s="518">
        <v>21</v>
      </c>
    </row>
    <row r="6" spans="1:47" ht="14.95" customHeight="1" thickBot="1" x14ac:dyDescent="0.35">
      <c r="A6" s="155" t="s">
        <v>107</v>
      </c>
      <c r="B6" s="157" t="s">
        <v>41</v>
      </c>
      <c r="C6" s="157" t="s">
        <v>31</v>
      </c>
      <c r="D6" s="157" t="s">
        <v>180</v>
      </c>
      <c r="E6" s="158" t="s">
        <v>1</v>
      </c>
      <c r="F6" s="158">
        <v>40</v>
      </c>
      <c r="G6" s="158">
        <v>14</v>
      </c>
      <c r="H6" s="375">
        <v>1</v>
      </c>
      <c r="I6" s="375">
        <v>0</v>
      </c>
      <c r="J6" s="375">
        <v>6</v>
      </c>
      <c r="K6" s="375">
        <v>5</v>
      </c>
      <c r="L6" s="375">
        <v>0</v>
      </c>
      <c r="M6" s="375">
        <v>0</v>
      </c>
      <c r="N6" s="375">
        <v>1</v>
      </c>
      <c r="O6" s="375">
        <v>0</v>
      </c>
      <c r="P6" s="375">
        <v>0</v>
      </c>
      <c r="Q6" s="375">
        <v>0</v>
      </c>
      <c r="R6" s="375">
        <v>2</v>
      </c>
      <c r="S6" s="162"/>
      <c r="T6" s="163" t="s">
        <v>298</v>
      </c>
      <c r="U6" s="164" t="s">
        <v>272</v>
      </c>
      <c r="V6" s="162" t="s">
        <v>110</v>
      </c>
      <c r="W6" s="162" t="s">
        <v>139</v>
      </c>
      <c r="X6" s="159" t="s">
        <v>119</v>
      </c>
      <c r="Y6" s="165" t="s">
        <v>131</v>
      </c>
      <c r="Z6" s="159">
        <v>1</v>
      </c>
      <c r="AA6" s="159">
        <v>1</v>
      </c>
      <c r="AB6" s="159">
        <v>0</v>
      </c>
      <c r="AC6" s="523">
        <v>0</v>
      </c>
      <c r="AD6" s="159">
        <v>0</v>
      </c>
      <c r="AE6" s="159">
        <v>0</v>
      </c>
      <c r="AF6" s="159">
        <v>0</v>
      </c>
      <c r="AG6" s="523">
        <v>0</v>
      </c>
      <c r="AH6" s="159">
        <v>1</v>
      </c>
      <c r="AI6" s="159">
        <v>1</v>
      </c>
      <c r="AJ6" s="159">
        <v>0</v>
      </c>
      <c r="AK6" s="159">
        <v>0</v>
      </c>
      <c r="AL6" s="159">
        <v>0</v>
      </c>
      <c r="AM6" s="159">
        <v>0</v>
      </c>
      <c r="AN6" s="159">
        <v>0</v>
      </c>
      <c r="AO6" s="159">
        <v>0</v>
      </c>
      <c r="AT6" s="517" t="s">
        <v>507</v>
      </c>
      <c r="AU6" s="518">
        <v>588</v>
      </c>
    </row>
    <row r="7" spans="1:47" ht="14.95" customHeight="1" thickBot="1" x14ac:dyDescent="0.3">
      <c r="A7" s="155" t="s">
        <v>222</v>
      </c>
      <c r="B7" s="157" t="s">
        <v>41</v>
      </c>
      <c r="C7" s="157" t="s">
        <v>34</v>
      </c>
      <c r="D7" s="157" t="s">
        <v>84</v>
      </c>
      <c r="E7" s="158" t="s">
        <v>3</v>
      </c>
      <c r="F7" s="158">
        <v>19</v>
      </c>
      <c r="G7" s="158">
        <v>26</v>
      </c>
      <c r="H7" s="375">
        <v>0</v>
      </c>
      <c r="I7" s="375">
        <v>1</v>
      </c>
      <c r="J7" s="375">
        <v>3</v>
      </c>
      <c r="K7" s="375">
        <v>2</v>
      </c>
      <c r="L7" s="375">
        <v>0</v>
      </c>
      <c r="M7" s="375">
        <v>0</v>
      </c>
      <c r="N7" s="375">
        <v>0</v>
      </c>
      <c r="O7" s="375">
        <v>0</v>
      </c>
      <c r="P7" s="375">
        <v>1</v>
      </c>
      <c r="Q7" s="375">
        <v>0</v>
      </c>
      <c r="R7" s="375">
        <v>4</v>
      </c>
      <c r="S7" s="159"/>
      <c r="T7" s="396" t="s">
        <v>316</v>
      </c>
      <c r="U7" s="159" t="s">
        <v>145</v>
      </c>
      <c r="V7" s="159" t="s">
        <v>127</v>
      </c>
      <c r="W7" s="159" t="s">
        <v>136</v>
      </c>
      <c r="X7" s="159" t="s">
        <v>117</v>
      </c>
      <c r="Y7" s="165" t="s">
        <v>132</v>
      </c>
      <c r="Z7" s="159">
        <v>1</v>
      </c>
      <c r="AA7" s="159">
        <v>0</v>
      </c>
      <c r="AB7" s="159">
        <v>0</v>
      </c>
      <c r="AC7" s="523">
        <v>1</v>
      </c>
      <c r="AD7" s="159">
        <v>0</v>
      </c>
      <c r="AE7" s="159">
        <v>0</v>
      </c>
      <c r="AF7" s="159">
        <v>0</v>
      </c>
      <c r="AG7" s="523">
        <v>0</v>
      </c>
      <c r="AH7" s="159">
        <v>1</v>
      </c>
      <c r="AI7" s="159">
        <v>0</v>
      </c>
      <c r="AJ7" s="159">
        <v>0</v>
      </c>
      <c r="AK7" s="159">
        <v>1</v>
      </c>
      <c r="AL7" s="159">
        <v>0</v>
      </c>
      <c r="AM7" s="159">
        <v>0</v>
      </c>
      <c r="AN7" s="159">
        <v>0</v>
      </c>
      <c r="AO7" s="159">
        <v>0</v>
      </c>
    </row>
    <row r="8" spans="1:47" ht="14.95" customHeight="1" thickBot="1" x14ac:dyDescent="0.3">
      <c r="A8" s="170" t="s">
        <v>546</v>
      </c>
      <c r="B8" s="171" t="s">
        <v>161</v>
      </c>
      <c r="C8" s="171" t="s">
        <v>34</v>
      </c>
      <c r="D8" s="171" t="s">
        <v>218</v>
      </c>
      <c r="E8" s="172" t="s">
        <v>1</v>
      </c>
      <c r="F8" s="172">
        <v>27</v>
      </c>
      <c r="G8" s="172">
        <v>21</v>
      </c>
      <c r="H8" s="374" t="s">
        <v>69</v>
      </c>
      <c r="I8" s="374" t="s">
        <v>69</v>
      </c>
      <c r="J8" s="374">
        <v>5</v>
      </c>
      <c r="K8" s="374">
        <v>1</v>
      </c>
      <c r="L8" s="374">
        <v>0</v>
      </c>
      <c r="M8" s="374">
        <v>0</v>
      </c>
      <c r="N8" s="374">
        <v>0</v>
      </c>
      <c r="O8" s="374">
        <v>0</v>
      </c>
      <c r="P8" s="374" t="s">
        <v>69</v>
      </c>
      <c r="Q8" s="374" t="s">
        <v>69</v>
      </c>
      <c r="R8" s="374">
        <v>3</v>
      </c>
      <c r="S8" s="176"/>
      <c r="T8" s="524" t="s">
        <v>528</v>
      </c>
      <c r="U8" s="176" t="s">
        <v>114</v>
      </c>
      <c r="V8" s="176" t="s">
        <v>136</v>
      </c>
      <c r="W8" s="176" t="s">
        <v>100</v>
      </c>
      <c r="X8" s="176" t="s">
        <v>117</v>
      </c>
      <c r="Y8" s="177" t="s">
        <v>132</v>
      </c>
      <c r="Z8" s="176">
        <v>1</v>
      </c>
      <c r="AA8" s="176">
        <v>1</v>
      </c>
      <c r="AB8" s="176">
        <v>0</v>
      </c>
      <c r="AC8" s="342">
        <v>0</v>
      </c>
      <c r="AD8" s="176">
        <v>1</v>
      </c>
      <c r="AE8" s="176">
        <v>1</v>
      </c>
      <c r="AF8" s="176">
        <v>0</v>
      </c>
      <c r="AG8" s="342">
        <v>0</v>
      </c>
      <c r="AH8" s="176">
        <v>0</v>
      </c>
      <c r="AI8" s="176">
        <v>0</v>
      </c>
      <c r="AJ8" s="176">
        <v>0</v>
      </c>
      <c r="AK8" s="176">
        <v>0</v>
      </c>
      <c r="AL8" s="176">
        <v>0</v>
      </c>
      <c r="AM8" s="176">
        <v>0</v>
      </c>
      <c r="AN8" s="176">
        <v>0</v>
      </c>
      <c r="AO8" s="176">
        <v>0</v>
      </c>
    </row>
    <row r="9" spans="1:47" ht="14.95" customHeight="1" thickBot="1" x14ac:dyDescent="0.3">
      <c r="A9" s="170" t="s">
        <v>562</v>
      </c>
      <c r="B9" s="171" t="s">
        <v>161</v>
      </c>
      <c r="C9" s="171" t="s">
        <v>36</v>
      </c>
      <c r="D9" s="171" t="s">
        <v>108</v>
      </c>
      <c r="E9" s="172" t="s">
        <v>3</v>
      </c>
      <c r="F9" s="172">
        <v>26</v>
      </c>
      <c r="G9" s="172">
        <v>47</v>
      </c>
      <c r="H9" s="374" t="s">
        <v>69</v>
      </c>
      <c r="I9" s="374" t="s">
        <v>69</v>
      </c>
      <c r="J9" s="374">
        <v>4</v>
      </c>
      <c r="K9" s="374">
        <v>3</v>
      </c>
      <c r="L9" s="374">
        <v>0</v>
      </c>
      <c r="M9" s="374">
        <v>0</v>
      </c>
      <c r="N9" s="374">
        <v>2</v>
      </c>
      <c r="O9" s="374">
        <v>0</v>
      </c>
      <c r="P9" s="374" t="s">
        <v>69</v>
      </c>
      <c r="Q9" s="374" t="s">
        <v>69</v>
      </c>
      <c r="R9" s="374">
        <v>7</v>
      </c>
      <c r="S9" s="176"/>
      <c r="T9" s="325" t="s">
        <v>563</v>
      </c>
      <c r="U9" s="176" t="s">
        <v>119</v>
      </c>
      <c r="V9" s="176" t="s">
        <v>115</v>
      </c>
      <c r="W9" s="176" t="s">
        <v>100</v>
      </c>
      <c r="X9" s="176" t="s">
        <v>114</v>
      </c>
      <c r="Y9" s="177" t="s">
        <v>131</v>
      </c>
      <c r="Z9" s="176">
        <v>1</v>
      </c>
      <c r="AA9" s="176">
        <v>0</v>
      </c>
      <c r="AB9" s="176">
        <v>0</v>
      </c>
      <c r="AC9" s="342">
        <v>1</v>
      </c>
      <c r="AD9" s="176">
        <v>1</v>
      </c>
      <c r="AE9" s="176">
        <v>0</v>
      </c>
      <c r="AF9" s="176">
        <v>0</v>
      </c>
      <c r="AG9" s="342">
        <v>1</v>
      </c>
      <c r="AH9" s="176">
        <v>0</v>
      </c>
      <c r="AI9" s="176">
        <v>0</v>
      </c>
      <c r="AJ9" s="176">
        <v>0</v>
      </c>
      <c r="AK9" s="176">
        <v>0</v>
      </c>
      <c r="AL9" s="176">
        <v>0</v>
      </c>
      <c r="AM9" s="176">
        <v>0</v>
      </c>
      <c r="AN9" s="176">
        <v>0</v>
      </c>
      <c r="AO9" s="176">
        <v>0</v>
      </c>
    </row>
    <row r="10" spans="1:47" ht="14.95" customHeight="1" thickBot="1" x14ac:dyDescent="0.35">
      <c r="A10" s="201" t="s">
        <v>245</v>
      </c>
      <c r="B10" s="202" t="s">
        <v>231</v>
      </c>
      <c r="C10" s="202" t="s">
        <v>99</v>
      </c>
      <c r="D10" s="202" t="s">
        <v>235</v>
      </c>
      <c r="E10" s="184" t="s">
        <v>1</v>
      </c>
      <c r="F10" s="184">
        <v>42</v>
      </c>
      <c r="G10" s="184">
        <v>14</v>
      </c>
      <c r="H10" s="373">
        <v>1</v>
      </c>
      <c r="I10" s="373">
        <v>0</v>
      </c>
      <c r="J10" s="373">
        <v>6</v>
      </c>
      <c r="K10" s="373">
        <v>6</v>
      </c>
      <c r="L10" s="373">
        <v>0</v>
      </c>
      <c r="M10" s="373">
        <v>0</v>
      </c>
      <c r="N10" s="373">
        <v>1</v>
      </c>
      <c r="O10" s="373">
        <v>0</v>
      </c>
      <c r="P10" s="373">
        <v>0</v>
      </c>
      <c r="Q10" s="373">
        <v>0</v>
      </c>
      <c r="R10" s="373">
        <v>2</v>
      </c>
      <c r="S10" s="186">
        <v>13053</v>
      </c>
      <c r="T10" s="363" t="s">
        <v>659</v>
      </c>
      <c r="U10" s="186" t="s">
        <v>114</v>
      </c>
      <c r="V10" s="186" t="s">
        <v>136</v>
      </c>
      <c r="W10" s="186" t="s">
        <v>139</v>
      </c>
      <c r="X10" s="186" t="s">
        <v>128</v>
      </c>
      <c r="Y10" s="186" t="s">
        <v>154</v>
      </c>
      <c r="Z10" s="186">
        <v>1</v>
      </c>
      <c r="AA10" s="186">
        <v>1</v>
      </c>
      <c r="AB10" s="186">
        <v>0</v>
      </c>
      <c r="AC10" s="341">
        <v>0</v>
      </c>
      <c r="AD10" s="186">
        <v>0</v>
      </c>
      <c r="AE10" s="186">
        <v>0</v>
      </c>
      <c r="AF10" s="186">
        <v>0</v>
      </c>
      <c r="AG10" s="341">
        <v>0</v>
      </c>
      <c r="AH10" s="186">
        <v>0</v>
      </c>
      <c r="AI10" s="186">
        <v>0</v>
      </c>
      <c r="AJ10" s="186">
        <v>0</v>
      </c>
      <c r="AK10" s="186">
        <v>0</v>
      </c>
      <c r="AL10" s="186">
        <v>1</v>
      </c>
      <c r="AM10" s="186">
        <v>1</v>
      </c>
      <c r="AN10" s="186">
        <v>0</v>
      </c>
      <c r="AO10" s="186">
        <v>0</v>
      </c>
    </row>
    <row r="11" spans="1:47" ht="15.8" customHeight="1" thickBot="1" x14ac:dyDescent="0.35">
      <c r="A11" s="201" t="s">
        <v>242</v>
      </c>
      <c r="B11" s="202" t="s">
        <v>231</v>
      </c>
      <c r="C11" s="214" t="s">
        <v>133</v>
      </c>
      <c r="D11" s="202" t="s">
        <v>235</v>
      </c>
      <c r="E11" s="134" t="s">
        <v>1</v>
      </c>
      <c r="F11" s="184">
        <v>43</v>
      </c>
      <c r="G11" s="184">
        <v>27</v>
      </c>
      <c r="H11" s="373">
        <v>1</v>
      </c>
      <c r="I11" s="373">
        <v>0</v>
      </c>
      <c r="J11" s="373">
        <v>7</v>
      </c>
      <c r="K11" s="373">
        <v>4</v>
      </c>
      <c r="L11" s="373">
        <v>0</v>
      </c>
      <c r="M11" s="373">
        <v>0</v>
      </c>
      <c r="N11" s="373">
        <v>0</v>
      </c>
      <c r="O11" s="373">
        <v>0</v>
      </c>
      <c r="P11" s="373">
        <v>1</v>
      </c>
      <c r="Q11" s="373">
        <v>0</v>
      </c>
      <c r="R11" s="373">
        <v>5</v>
      </c>
      <c r="S11" s="186">
        <v>8834</v>
      </c>
      <c r="T11" s="363" t="s">
        <v>732</v>
      </c>
      <c r="U11" s="186" t="s">
        <v>252</v>
      </c>
      <c r="V11" s="186" t="s">
        <v>136</v>
      </c>
      <c r="W11" s="186" t="s">
        <v>110</v>
      </c>
      <c r="X11" s="186" t="s">
        <v>114</v>
      </c>
      <c r="Y11" s="186" t="s">
        <v>132</v>
      </c>
      <c r="Z11" s="186">
        <v>1</v>
      </c>
      <c r="AA11" s="186">
        <v>1</v>
      </c>
      <c r="AB11" s="186">
        <v>0</v>
      </c>
      <c r="AC11" s="341">
        <v>0</v>
      </c>
      <c r="AD11" s="186">
        <v>0</v>
      </c>
      <c r="AE11" s="186">
        <v>0</v>
      </c>
      <c r="AF11" s="186">
        <v>0</v>
      </c>
      <c r="AG11" s="341">
        <v>0</v>
      </c>
      <c r="AH11" s="186">
        <v>0</v>
      </c>
      <c r="AI11" s="186">
        <v>0</v>
      </c>
      <c r="AJ11" s="186">
        <v>0</v>
      </c>
      <c r="AK11" s="186">
        <v>0</v>
      </c>
      <c r="AL11" s="186">
        <v>1</v>
      </c>
      <c r="AM11" s="186">
        <v>1</v>
      </c>
      <c r="AN11" s="186">
        <v>0</v>
      </c>
      <c r="AO11" s="186">
        <v>0</v>
      </c>
    </row>
    <row r="12" spans="1:47" ht="15.8" customHeight="1" thickBot="1" x14ac:dyDescent="0.3">
      <c r="A12" s="201" t="s">
        <v>174</v>
      </c>
      <c r="B12" s="202" t="s">
        <v>231</v>
      </c>
      <c r="C12" s="214" t="s">
        <v>72</v>
      </c>
      <c r="D12" s="202" t="s">
        <v>238</v>
      </c>
      <c r="E12" s="134" t="s">
        <v>3</v>
      </c>
      <c r="F12" s="184">
        <v>0</v>
      </c>
      <c r="G12" s="184">
        <v>40</v>
      </c>
      <c r="H12" s="373">
        <v>0</v>
      </c>
      <c r="I12" s="373">
        <v>0</v>
      </c>
      <c r="J12" s="373">
        <v>0</v>
      </c>
      <c r="K12" s="373">
        <v>0</v>
      </c>
      <c r="L12" s="373">
        <v>0</v>
      </c>
      <c r="M12" s="373">
        <v>0</v>
      </c>
      <c r="N12" s="373">
        <v>0</v>
      </c>
      <c r="O12" s="373">
        <v>0</v>
      </c>
      <c r="P12" s="373">
        <v>1</v>
      </c>
      <c r="Q12" s="373">
        <v>0</v>
      </c>
      <c r="R12" s="373">
        <v>6</v>
      </c>
      <c r="S12" s="373">
        <v>30017</v>
      </c>
      <c r="T12" s="204" t="s">
        <v>362</v>
      </c>
      <c r="U12" s="186" t="s">
        <v>247</v>
      </c>
      <c r="V12" s="186" t="s">
        <v>111</v>
      </c>
      <c r="W12" s="186" t="s">
        <v>136</v>
      </c>
      <c r="X12" s="186" t="s">
        <v>128</v>
      </c>
      <c r="Y12" s="186" t="s">
        <v>154</v>
      </c>
      <c r="Z12" s="186">
        <v>1</v>
      </c>
      <c r="AA12" s="186">
        <v>0</v>
      </c>
      <c r="AB12" s="186">
        <v>0</v>
      </c>
      <c r="AC12" s="341">
        <v>1</v>
      </c>
      <c r="AD12" s="186">
        <v>0</v>
      </c>
      <c r="AE12" s="186">
        <v>0</v>
      </c>
      <c r="AF12" s="186">
        <v>0</v>
      </c>
      <c r="AG12" s="341">
        <v>0</v>
      </c>
      <c r="AH12" s="186">
        <v>0</v>
      </c>
      <c r="AI12" s="186">
        <v>0</v>
      </c>
      <c r="AJ12" s="186">
        <v>0</v>
      </c>
      <c r="AK12" s="186">
        <v>0</v>
      </c>
      <c r="AL12" s="186">
        <v>1</v>
      </c>
      <c r="AM12" s="186">
        <v>0</v>
      </c>
      <c r="AN12" s="186">
        <v>0</v>
      </c>
      <c r="AO12" s="186">
        <v>1</v>
      </c>
    </row>
    <row r="13" spans="1:47" ht="17" thickBot="1" x14ac:dyDescent="0.35">
      <c r="A13" s="201" t="s">
        <v>599</v>
      </c>
      <c r="B13" s="202" t="s">
        <v>700</v>
      </c>
      <c r="C13" s="202" t="s">
        <v>33</v>
      </c>
      <c r="D13" s="552" t="s">
        <v>241</v>
      </c>
      <c r="E13" s="134" t="s">
        <v>3</v>
      </c>
      <c r="F13" s="184">
        <v>13</v>
      </c>
      <c r="G13" s="184">
        <v>18</v>
      </c>
      <c r="H13" s="373" t="s">
        <v>69</v>
      </c>
      <c r="I13" s="373" t="s">
        <v>69</v>
      </c>
      <c r="J13" s="373">
        <v>2</v>
      </c>
      <c r="K13" s="373">
        <v>0</v>
      </c>
      <c r="L13" s="373">
        <v>0</v>
      </c>
      <c r="M13" s="373">
        <v>1</v>
      </c>
      <c r="N13" s="373">
        <v>1</v>
      </c>
      <c r="O13" s="373">
        <v>0</v>
      </c>
      <c r="P13" s="373" t="s">
        <v>69</v>
      </c>
      <c r="Q13" s="373" t="s">
        <v>69</v>
      </c>
      <c r="R13" s="373">
        <v>2</v>
      </c>
      <c r="S13" s="186">
        <v>11618</v>
      </c>
      <c r="T13" s="666" t="s">
        <v>815</v>
      </c>
      <c r="U13" s="186" t="s">
        <v>146</v>
      </c>
      <c r="V13" s="186" t="s">
        <v>110</v>
      </c>
      <c r="W13" s="186" t="s">
        <v>139</v>
      </c>
      <c r="X13" s="186" t="s">
        <v>144</v>
      </c>
      <c r="Y13" s="186" t="s">
        <v>145</v>
      </c>
      <c r="Z13" s="186">
        <v>1</v>
      </c>
      <c r="AA13" s="186">
        <v>0</v>
      </c>
      <c r="AB13" s="186">
        <v>0</v>
      </c>
      <c r="AC13" s="341">
        <v>1</v>
      </c>
      <c r="AD13" s="186">
        <v>0</v>
      </c>
      <c r="AE13" s="186">
        <v>0</v>
      </c>
      <c r="AF13" s="186">
        <v>0</v>
      </c>
      <c r="AG13" s="341">
        <v>0</v>
      </c>
      <c r="AH13" s="186">
        <v>0</v>
      </c>
      <c r="AI13" s="186">
        <v>0</v>
      </c>
      <c r="AJ13" s="186">
        <v>0</v>
      </c>
      <c r="AK13" s="186">
        <v>0</v>
      </c>
      <c r="AL13" s="186">
        <v>1</v>
      </c>
      <c r="AM13" s="186">
        <v>0</v>
      </c>
      <c r="AN13" s="186">
        <v>0</v>
      </c>
      <c r="AO13" s="186">
        <v>1</v>
      </c>
    </row>
    <row r="14" spans="1:47" ht="14.95" thickBot="1" x14ac:dyDescent="0.3">
      <c r="A14" s="104"/>
      <c r="B14" s="105"/>
      <c r="C14" s="765" t="s">
        <v>71</v>
      </c>
      <c r="D14" s="766"/>
      <c r="E14" s="767"/>
      <c r="F14" s="430">
        <f>SUM(F3:F7)</f>
        <v>133</v>
      </c>
      <c r="G14" s="430">
        <f t="shared" ref="G14:R14" si="0">SUM(G3:G7)</f>
        <v>128</v>
      </c>
      <c r="H14" s="430">
        <f t="shared" si="0"/>
        <v>2</v>
      </c>
      <c r="I14" s="430">
        <f t="shared" si="0"/>
        <v>1</v>
      </c>
      <c r="J14" s="430">
        <f t="shared" si="0"/>
        <v>21</v>
      </c>
      <c r="K14" s="430">
        <f t="shared" si="0"/>
        <v>14</v>
      </c>
      <c r="L14" s="430">
        <f t="shared" si="0"/>
        <v>0</v>
      </c>
      <c r="M14" s="430">
        <f t="shared" si="0"/>
        <v>0</v>
      </c>
      <c r="N14" s="430">
        <f t="shared" si="0"/>
        <v>3</v>
      </c>
      <c r="O14" s="430">
        <f t="shared" si="0"/>
        <v>0</v>
      </c>
      <c r="P14" s="430">
        <f t="shared" si="0"/>
        <v>2</v>
      </c>
      <c r="Q14" s="430">
        <f t="shared" si="0"/>
        <v>0</v>
      </c>
      <c r="R14" s="430">
        <f t="shared" si="0"/>
        <v>18</v>
      </c>
      <c r="S14" s="431"/>
      <c r="T14" s="431"/>
      <c r="U14" s="431"/>
      <c r="V14" s="431"/>
      <c r="W14" s="431"/>
      <c r="X14" s="426"/>
      <c r="Y14" s="434" t="s">
        <v>71</v>
      </c>
      <c r="Z14" s="430">
        <f t="shared" ref="Z14:AE14" si="1">SUM(Z3:Z7)</f>
        <v>5</v>
      </c>
      <c r="AA14" s="430">
        <f t="shared" si="1"/>
        <v>2</v>
      </c>
      <c r="AB14" s="430">
        <f t="shared" si="1"/>
        <v>0</v>
      </c>
      <c r="AC14" s="430">
        <f t="shared" si="1"/>
        <v>3</v>
      </c>
      <c r="AD14" s="432">
        <f t="shared" si="1"/>
        <v>2</v>
      </c>
      <c r="AE14" s="432">
        <f t="shared" si="1"/>
        <v>0</v>
      </c>
      <c r="AF14" s="432">
        <f t="shared" ref="AF14:AO14" si="2">SUM(AF3:AF10)</f>
        <v>0</v>
      </c>
      <c r="AG14" s="432">
        <f t="shared" si="2"/>
        <v>3</v>
      </c>
      <c r="AH14" s="433">
        <f t="shared" si="2"/>
        <v>3</v>
      </c>
      <c r="AI14" s="433">
        <f t="shared" si="2"/>
        <v>2</v>
      </c>
      <c r="AJ14" s="433">
        <f t="shared" si="2"/>
        <v>0</v>
      </c>
      <c r="AK14" s="433">
        <f t="shared" si="2"/>
        <v>1</v>
      </c>
      <c r="AL14" s="430">
        <f t="shared" si="2"/>
        <v>1</v>
      </c>
      <c r="AM14" s="430">
        <f t="shared" si="2"/>
        <v>1</v>
      </c>
      <c r="AN14" s="430">
        <f t="shared" si="2"/>
        <v>0</v>
      </c>
      <c r="AO14" s="430">
        <f t="shared" si="2"/>
        <v>0</v>
      </c>
    </row>
    <row r="15" spans="1:47" ht="14.95" thickBot="1" x14ac:dyDescent="0.3">
      <c r="A15" s="199"/>
      <c r="B15" s="200"/>
      <c r="C15" s="731" t="s">
        <v>237</v>
      </c>
      <c r="D15" s="787"/>
      <c r="E15" s="788"/>
      <c r="F15" s="457">
        <f>SUM(F10:F13)</f>
        <v>98</v>
      </c>
      <c r="G15" s="457">
        <f t="shared" ref="G15:R15" si="3">SUM(G10:G13)</f>
        <v>99</v>
      </c>
      <c r="H15" s="457">
        <f t="shared" si="3"/>
        <v>2</v>
      </c>
      <c r="I15" s="457">
        <f t="shared" si="3"/>
        <v>0</v>
      </c>
      <c r="J15" s="457">
        <f t="shared" si="3"/>
        <v>15</v>
      </c>
      <c r="K15" s="457">
        <f t="shared" si="3"/>
        <v>10</v>
      </c>
      <c r="L15" s="457">
        <f t="shared" si="3"/>
        <v>0</v>
      </c>
      <c r="M15" s="457">
        <f t="shared" si="3"/>
        <v>1</v>
      </c>
      <c r="N15" s="457">
        <f t="shared" si="3"/>
        <v>2</v>
      </c>
      <c r="O15" s="457">
        <f t="shared" si="3"/>
        <v>0</v>
      </c>
      <c r="P15" s="457">
        <f t="shared" si="3"/>
        <v>2</v>
      </c>
      <c r="Q15" s="457">
        <f t="shared" si="3"/>
        <v>0</v>
      </c>
      <c r="R15" s="457">
        <f t="shared" si="3"/>
        <v>15</v>
      </c>
      <c r="S15" s="463"/>
      <c r="T15" s="463"/>
      <c r="U15" s="463"/>
      <c r="V15" s="463"/>
      <c r="W15" s="463"/>
      <c r="X15" s="459"/>
      <c r="Y15" s="464" t="s">
        <v>237</v>
      </c>
      <c r="Z15" s="457">
        <f t="shared" ref="Z15:AO15" si="4">SUM(Z10:Z13)</f>
        <v>4</v>
      </c>
      <c r="AA15" s="457">
        <f t="shared" si="4"/>
        <v>2</v>
      </c>
      <c r="AB15" s="457">
        <f t="shared" si="4"/>
        <v>0</v>
      </c>
      <c r="AC15" s="457">
        <f t="shared" si="4"/>
        <v>2</v>
      </c>
      <c r="AD15" s="461">
        <f t="shared" si="4"/>
        <v>0</v>
      </c>
      <c r="AE15" s="461">
        <f t="shared" si="4"/>
        <v>0</v>
      </c>
      <c r="AF15" s="461">
        <f t="shared" si="4"/>
        <v>0</v>
      </c>
      <c r="AG15" s="461">
        <f t="shared" si="4"/>
        <v>0</v>
      </c>
      <c r="AH15" s="462">
        <f t="shared" si="4"/>
        <v>0</v>
      </c>
      <c r="AI15" s="462">
        <f t="shared" si="4"/>
        <v>0</v>
      </c>
      <c r="AJ15" s="462">
        <f t="shared" si="4"/>
        <v>0</v>
      </c>
      <c r="AK15" s="462">
        <f t="shared" si="4"/>
        <v>0</v>
      </c>
      <c r="AL15" s="457">
        <f t="shared" si="4"/>
        <v>4</v>
      </c>
      <c r="AM15" s="457">
        <f t="shared" si="4"/>
        <v>2</v>
      </c>
      <c r="AN15" s="457">
        <f t="shared" si="4"/>
        <v>0</v>
      </c>
      <c r="AO15" s="457">
        <f t="shared" si="4"/>
        <v>2</v>
      </c>
    </row>
    <row r="16" spans="1:47" ht="14.95" thickBot="1" x14ac:dyDescent="0.3">
      <c r="A16" s="104"/>
      <c r="B16" s="105"/>
      <c r="C16" s="728" t="s">
        <v>70</v>
      </c>
      <c r="D16" s="729"/>
      <c r="E16" s="730"/>
      <c r="F16" s="128">
        <f>SUM(F3:F13)</f>
        <v>284</v>
      </c>
      <c r="G16" s="128">
        <f t="shared" ref="G16:R16" si="5">SUM(G3:G13)</f>
        <v>295</v>
      </c>
      <c r="H16" s="128">
        <f t="shared" si="5"/>
        <v>4</v>
      </c>
      <c r="I16" s="128">
        <f t="shared" si="5"/>
        <v>1</v>
      </c>
      <c r="J16" s="128">
        <f t="shared" si="5"/>
        <v>45</v>
      </c>
      <c r="K16" s="128">
        <f t="shared" si="5"/>
        <v>28</v>
      </c>
      <c r="L16" s="128">
        <f t="shared" si="5"/>
        <v>0</v>
      </c>
      <c r="M16" s="128">
        <f t="shared" si="5"/>
        <v>1</v>
      </c>
      <c r="N16" s="128">
        <f t="shared" si="5"/>
        <v>7</v>
      </c>
      <c r="O16" s="128">
        <f t="shared" si="5"/>
        <v>0</v>
      </c>
      <c r="P16" s="128">
        <f t="shared" si="5"/>
        <v>4</v>
      </c>
      <c r="Q16" s="128">
        <f t="shared" si="5"/>
        <v>0</v>
      </c>
      <c r="R16" s="128">
        <f t="shared" si="5"/>
        <v>43</v>
      </c>
      <c r="S16" s="125"/>
      <c r="T16" s="125"/>
      <c r="U16" s="125"/>
      <c r="V16" s="125"/>
      <c r="W16" s="125"/>
      <c r="X16" s="12"/>
      <c r="Y16" s="133" t="s">
        <v>70</v>
      </c>
      <c r="Z16" s="128">
        <f t="shared" ref="Z16:AO16" si="6">SUM(Z3:Z13)</f>
        <v>11</v>
      </c>
      <c r="AA16" s="128">
        <f t="shared" si="6"/>
        <v>5</v>
      </c>
      <c r="AB16" s="128">
        <f t="shared" si="6"/>
        <v>0</v>
      </c>
      <c r="AC16" s="128">
        <f t="shared" si="6"/>
        <v>6</v>
      </c>
      <c r="AD16" s="126">
        <f t="shared" si="6"/>
        <v>4</v>
      </c>
      <c r="AE16" s="126">
        <f t="shared" si="6"/>
        <v>1</v>
      </c>
      <c r="AF16" s="126">
        <f t="shared" si="6"/>
        <v>0</v>
      </c>
      <c r="AG16" s="126">
        <f t="shared" si="6"/>
        <v>3</v>
      </c>
      <c r="AH16" s="127">
        <f t="shared" si="6"/>
        <v>3</v>
      </c>
      <c r="AI16" s="127">
        <f t="shared" si="6"/>
        <v>2</v>
      </c>
      <c r="AJ16" s="127">
        <f t="shared" si="6"/>
        <v>0</v>
      </c>
      <c r="AK16" s="127">
        <f t="shared" si="6"/>
        <v>1</v>
      </c>
      <c r="AL16" s="128">
        <f t="shared" si="6"/>
        <v>4</v>
      </c>
      <c r="AM16" s="128">
        <f t="shared" si="6"/>
        <v>2</v>
      </c>
      <c r="AN16" s="128">
        <f t="shared" si="6"/>
        <v>0</v>
      </c>
      <c r="AO16" s="128">
        <f t="shared" si="6"/>
        <v>2</v>
      </c>
    </row>
    <row r="17" spans="1:18" x14ac:dyDescent="0.25">
      <c r="A17" s="727"/>
      <c r="B17" s="687"/>
      <c r="C17" s="687"/>
      <c r="D17" s="687"/>
      <c r="E17" s="687"/>
      <c r="F17" s="687"/>
      <c r="G17" s="687"/>
      <c r="H17" s="687"/>
      <c r="I17" s="687"/>
      <c r="J17" s="687"/>
      <c r="K17" s="687"/>
      <c r="L17" s="687"/>
      <c r="M17" s="687"/>
      <c r="N17" s="687"/>
      <c r="O17" s="687"/>
      <c r="P17" s="687"/>
      <c r="Q17" s="687"/>
      <c r="R17" s="687"/>
    </row>
    <row r="18" spans="1:18" x14ac:dyDescent="0.25">
      <c r="A18" t="s">
        <v>564</v>
      </c>
      <c r="F18" s="13"/>
      <c r="G18" s="13"/>
      <c r="H18" s="12"/>
      <c r="I18" s="13"/>
      <c r="J18" s="13"/>
      <c r="K18" s="13"/>
      <c r="L18" s="13"/>
      <c r="M18" s="13"/>
      <c r="N18" s="13"/>
      <c r="O18" s="13"/>
      <c r="P18" s="13"/>
      <c r="Q18" s="13"/>
      <c r="R18" s="13"/>
    </row>
    <row r="19" spans="1:18" x14ac:dyDescent="0.25">
      <c r="A19" t="s">
        <v>225</v>
      </c>
      <c r="F19" s="13"/>
      <c r="G19" s="13"/>
      <c r="H19" s="12"/>
      <c r="I19" s="13"/>
      <c r="J19" s="13"/>
      <c r="K19" s="13"/>
      <c r="L19" s="13"/>
      <c r="M19" s="13"/>
      <c r="N19" s="13"/>
      <c r="O19" s="13"/>
      <c r="P19" s="13"/>
      <c r="Q19" s="13"/>
      <c r="R19" s="13"/>
    </row>
    <row r="20" spans="1:18" x14ac:dyDescent="0.25">
      <c r="A20" t="s">
        <v>239</v>
      </c>
    </row>
    <row r="21" spans="1:18" x14ac:dyDescent="0.25">
      <c r="A21" t="s">
        <v>568</v>
      </c>
    </row>
    <row r="22" spans="1:18" x14ac:dyDescent="0.25">
      <c r="A22" s="727" t="s">
        <v>795</v>
      </c>
      <c r="B22" s="687"/>
      <c r="C22" s="687"/>
      <c r="D22" s="687"/>
      <c r="E22" s="687"/>
      <c r="F22" s="687"/>
      <c r="G22" s="687"/>
      <c r="H22" s="687"/>
      <c r="I22" s="687"/>
      <c r="J22" s="687"/>
      <c r="K22" s="687"/>
      <c r="L22" s="687"/>
      <c r="M22" s="687"/>
      <c r="N22" s="687"/>
      <c r="O22" s="687"/>
      <c r="P22" s="687"/>
      <c r="Q22" s="687"/>
      <c r="R22" s="687"/>
    </row>
    <row r="23" spans="1:18" x14ac:dyDescent="0.25">
      <c r="A23" t="s">
        <v>75</v>
      </c>
    </row>
    <row r="24" spans="1:18" x14ac:dyDescent="0.25">
      <c r="A24" s="313"/>
      <c r="B24" s="73" t="s">
        <v>40</v>
      </c>
      <c r="C24" s="73"/>
    </row>
    <row r="25" spans="1:18" x14ac:dyDescent="0.25">
      <c r="A25" s="314"/>
      <c r="B25" s="73" t="s">
        <v>38</v>
      </c>
      <c r="C25" s="73"/>
    </row>
    <row r="26" spans="1:18" x14ac:dyDescent="0.25">
      <c r="A26" s="315"/>
      <c r="B26" s="73" t="s">
        <v>39</v>
      </c>
      <c r="C26" s="73"/>
    </row>
    <row r="27" spans="1:18" ht="16.3" x14ac:dyDescent="0.3">
      <c r="A27" s="681" t="s">
        <v>28</v>
      </c>
    </row>
  </sheetData>
  <mergeCells count="15">
    <mergeCell ref="A22:R22"/>
    <mergeCell ref="Z1:AC1"/>
    <mergeCell ref="AD1:AG1"/>
    <mergeCell ref="AH1:AK1"/>
    <mergeCell ref="AL1:AO1"/>
    <mergeCell ref="P1:R1"/>
    <mergeCell ref="C14:E14"/>
    <mergeCell ref="C16:E16"/>
    <mergeCell ref="A17:R17"/>
    <mergeCell ref="A1:C1"/>
    <mergeCell ref="E1:G1"/>
    <mergeCell ref="H1:I1"/>
    <mergeCell ref="J1:M1"/>
    <mergeCell ref="N1:O1"/>
    <mergeCell ref="C15:E15"/>
  </mergeCells>
  <pageMargins left="0.7" right="0.7" top="0.75" bottom="0.75" header="0.3" footer="0.3"/>
  <pageSetup paperSize="9" orientation="portrait" r:id="rId1"/>
  <ignoredErrors>
    <ignoredError sqref="T3 T8:T9" twoDigitTextYear="1"/>
    <ignoredError sqref="J14:R14 F14:G14 Z14:AE14 H14:I14 AF14:AO14 S14:Y14 S16:Y16 S15:Y15 F15:R15 Z15:AO15" formulaRange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U26"/>
  <sheetViews>
    <sheetView zoomScaleNormal="100" workbookViewId="0">
      <pane ySplit="2" topLeftCell="A3" activePane="bottomLeft" state="frozen"/>
      <selection pane="bottomLeft" activeCell="A26" sqref="A26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25" customWidth="1"/>
    <col min="5" max="5" width="3.75" customWidth="1"/>
    <col min="6" max="7" width="4" bestFit="1" customWidth="1"/>
    <col min="8" max="18" width="3.75" customWidth="1"/>
    <col min="19" max="20" width="6.25" customWidth="1"/>
    <col min="21" max="21" width="23.625" bestFit="1" customWidth="1"/>
    <col min="22" max="22" width="21.875" bestFit="1" customWidth="1"/>
    <col min="23" max="23" width="17.375" bestFit="1" customWidth="1"/>
    <col min="24" max="24" width="23.625" bestFit="1" customWidth="1"/>
    <col min="25" max="25" width="24.375" bestFit="1" customWidth="1"/>
    <col min="26" max="41" width="3.75" customWidth="1"/>
    <col min="46" max="46" width="9.875" bestFit="1" customWidth="1"/>
  </cols>
  <sheetData>
    <row r="1" spans="1:47" ht="14.95" customHeight="1" thickBot="1" x14ac:dyDescent="0.3">
      <c r="A1" s="817" t="s">
        <v>203</v>
      </c>
      <c r="B1" s="818"/>
      <c r="C1" s="818"/>
      <c r="D1" s="137"/>
      <c r="E1" s="819" t="s">
        <v>24</v>
      </c>
      <c r="F1" s="820"/>
      <c r="G1" s="821"/>
      <c r="H1" s="819" t="s">
        <v>23</v>
      </c>
      <c r="I1" s="821"/>
      <c r="J1" s="814" t="s">
        <v>6</v>
      </c>
      <c r="K1" s="815"/>
      <c r="L1" s="815"/>
      <c r="M1" s="816"/>
      <c r="N1" s="814" t="s">
        <v>7</v>
      </c>
      <c r="O1" s="816"/>
      <c r="P1" s="814" t="s">
        <v>25</v>
      </c>
      <c r="Q1" s="815"/>
      <c r="R1" s="816"/>
      <c r="S1" s="138" t="s">
        <v>8</v>
      </c>
      <c r="T1" s="138" t="s">
        <v>9</v>
      </c>
      <c r="U1" s="139" t="s">
        <v>10</v>
      </c>
      <c r="V1" s="140" t="s">
        <v>11</v>
      </c>
      <c r="W1" s="139" t="s">
        <v>109</v>
      </c>
      <c r="X1" s="141" t="s">
        <v>26</v>
      </c>
      <c r="Y1" s="387" t="s">
        <v>27</v>
      </c>
      <c r="Z1" s="811" t="s">
        <v>20</v>
      </c>
      <c r="AA1" s="812"/>
      <c r="AB1" s="812"/>
      <c r="AC1" s="813"/>
      <c r="AD1" s="811" t="s">
        <v>56</v>
      </c>
      <c r="AE1" s="812"/>
      <c r="AF1" s="812"/>
      <c r="AG1" s="813"/>
      <c r="AH1" s="811" t="s">
        <v>57</v>
      </c>
      <c r="AI1" s="812"/>
      <c r="AJ1" s="812"/>
      <c r="AK1" s="813"/>
      <c r="AL1" s="811" t="s">
        <v>58</v>
      </c>
      <c r="AM1" s="812"/>
      <c r="AN1" s="812"/>
      <c r="AO1" s="813"/>
    </row>
    <row r="2" spans="1:47" ht="14.95" customHeight="1" thickBot="1" x14ac:dyDescent="0.3">
      <c r="A2" s="142" t="s">
        <v>19</v>
      </c>
      <c r="B2" s="143" t="s">
        <v>18</v>
      </c>
      <c r="C2" s="144" t="s">
        <v>17</v>
      </c>
      <c r="D2" s="144" t="s">
        <v>37</v>
      </c>
      <c r="E2" s="145" t="s">
        <v>16</v>
      </c>
      <c r="F2" s="145" t="s">
        <v>4</v>
      </c>
      <c r="G2" s="145" t="s">
        <v>5</v>
      </c>
      <c r="H2" s="146" t="s">
        <v>12</v>
      </c>
      <c r="I2" s="146" t="s">
        <v>3</v>
      </c>
      <c r="J2" s="146" t="s">
        <v>12</v>
      </c>
      <c r="K2" s="146" t="s">
        <v>13</v>
      </c>
      <c r="L2" s="146" t="s">
        <v>2</v>
      </c>
      <c r="M2" s="146" t="s">
        <v>14</v>
      </c>
      <c r="N2" s="146" t="s">
        <v>15</v>
      </c>
      <c r="O2" s="146" t="s">
        <v>16</v>
      </c>
      <c r="P2" s="146" t="s">
        <v>21</v>
      </c>
      <c r="Q2" s="146" t="s">
        <v>22</v>
      </c>
      <c r="R2" s="146" t="s">
        <v>12</v>
      </c>
      <c r="S2" s="147"/>
      <c r="T2" s="148"/>
      <c r="U2" s="149"/>
      <c r="V2" s="147"/>
      <c r="W2" s="149"/>
      <c r="X2" s="150"/>
      <c r="Y2" s="388"/>
      <c r="Z2" s="151" t="s">
        <v>0</v>
      </c>
      <c r="AA2" s="151" t="s">
        <v>1</v>
      </c>
      <c r="AB2" s="151" t="s">
        <v>2</v>
      </c>
      <c r="AC2" s="151" t="s">
        <v>3</v>
      </c>
      <c r="AD2" s="151" t="s">
        <v>0</v>
      </c>
      <c r="AE2" s="151" t="s">
        <v>1</v>
      </c>
      <c r="AF2" s="151" t="s">
        <v>2</v>
      </c>
      <c r="AG2" s="151" t="s">
        <v>3</v>
      </c>
      <c r="AH2" s="151" t="s">
        <v>0</v>
      </c>
      <c r="AI2" s="151" t="s">
        <v>1</v>
      </c>
      <c r="AJ2" s="151" t="s">
        <v>2</v>
      </c>
      <c r="AK2" s="151" t="s">
        <v>3</v>
      </c>
      <c r="AL2" s="151" t="s">
        <v>0</v>
      </c>
      <c r="AM2" s="151" t="s">
        <v>1</v>
      </c>
      <c r="AN2" s="151" t="s">
        <v>2</v>
      </c>
      <c r="AO2" s="151" t="s">
        <v>3</v>
      </c>
      <c r="AT2" s="73" t="s">
        <v>508</v>
      </c>
    </row>
    <row r="3" spans="1:47" ht="14.95" customHeight="1" thickBot="1" x14ac:dyDescent="0.3">
      <c r="A3" s="155" t="s">
        <v>104</v>
      </c>
      <c r="B3" s="167" t="s">
        <v>41</v>
      </c>
      <c r="C3" s="157" t="s">
        <v>30</v>
      </c>
      <c r="D3" s="157" t="s">
        <v>206</v>
      </c>
      <c r="E3" s="158" t="s">
        <v>3</v>
      </c>
      <c r="F3" s="158">
        <v>5</v>
      </c>
      <c r="G3" s="158">
        <v>38</v>
      </c>
      <c r="H3" s="375">
        <v>0</v>
      </c>
      <c r="I3" s="375">
        <v>0</v>
      </c>
      <c r="J3" s="375">
        <v>1</v>
      </c>
      <c r="K3" s="375">
        <v>0</v>
      </c>
      <c r="L3" s="375">
        <v>0</v>
      </c>
      <c r="M3" s="375">
        <v>0</v>
      </c>
      <c r="N3" s="375">
        <v>1</v>
      </c>
      <c r="O3" s="375">
        <v>0</v>
      </c>
      <c r="P3" s="375">
        <v>1</v>
      </c>
      <c r="Q3" s="375">
        <v>0</v>
      </c>
      <c r="R3" s="375">
        <v>6</v>
      </c>
      <c r="S3" s="162"/>
      <c r="T3" s="166" t="s">
        <v>259</v>
      </c>
      <c r="U3" s="164" t="s">
        <v>128</v>
      </c>
      <c r="V3" s="162" t="s">
        <v>160</v>
      </c>
      <c r="W3" s="162" t="s">
        <v>115</v>
      </c>
      <c r="X3" s="159" t="s">
        <v>163</v>
      </c>
      <c r="Y3" s="379" t="s">
        <v>179</v>
      </c>
      <c r="Z3" s="159">
        <v>1</v>
      </c>
      <c r="AA3" s="159">
        <v>0</v>
      </c>
      <c r="AB3" s="159">
        <v>0</v>
      </c>
      <c r="AC3" s="523">
        <v>1</v>
      </c>
      <c r="AD3" s="159">
        <v>0</v>
      </c>
      <c r="AE3" s="159">
        <v>0</v>
      </c>
      <c r="AF3" s="159">
        <v>0</v>
      </c>
      <c r="AG3" s="523">
        <v>0</v>
      </c>
      <c r="AH3" s="159">
        <v>1</v>
      </c>
      <c r="AI3" s="159">
        <v>0</v>
      </c>
      <c r="AJ3" s="159">
        <v>0</v>
      </c>
      <c r="AK3" s="523">
        <v>1</v>
      </c>
      <c r="AL3" s="159">
        <v>0</v>
      </c>
      <c r="AM3" s="159">
        <v>0</v>
      </c>
      <c r="AN3" s="159">
        <v>0</v>
      </c>
      <c r="AO3" s="523">
        <v>0</v>
      </c>
      <c r="AT3" s="515" t="s">
        <v>503</v>
      </c>
      <c r="AU3" s="516">
        <v>25</v>
      </c>
    </row>
    <row r="4" spans="1:47" ht="14.95" customHeight="1" thickBot="1" x14ac:dyDescent="0.3">
      <c r="A4" s="170" t="s">
        <v>105</v>
      </c>
      <c r="B4" s="171" t="s">
        <v>41</v>
      </c>
      <c r="C4" s="171" t="s">
        <v>35</v>
      </c>
      <c r="D4" s="171" t="s">
        <v>211</v>
      </c>
      <c r="E4" s="172" t="s">
        <v>3</v>
      </c>
      <c r="F4" s="172">
        <v>12</v>
      </c>
      <c r="G4" s="172">
        <v>54</v>
      </c>
      <c r="H4" s="374">
        <v>0</v>
      </c>
      <c r="I4" s="374">
        <v>0</v>
      </c>
      <c r="J4" s="374">
        <v>2</v>
      </c>
      <c r="K4" s="374">
        <v>1</v>
      </c>
      <c r="L4" s="374">
        <v>0</v>
      </c>
      <c r="M4" s="374">
        <v>0</v>
      </c>
      <c r="N4" s="374">
        <v>1</v>
      </c>
      <c r="O4" s="374">
        <v>0</v>
      </c>
      <c r="P4" s="374">
        <v>1</v>
      </c>
      <c r="Q4" s="374">
        <v>0</v>
      </c>
      <c r="R4" s="374">
        <v>8</v>
      </c>
      <c r="S4" s="173">
        <v>3337</v>
      </c>
      <c r="T4" s="174" t="s">
        <v>276</v>
      </c>
      <c r="U4" s="175" t="s">
        <v>159</v>
      </c>
      <c r="V4" s="173" t="s">
        <v>160</v>
      </c>
      <c r="W4" s="173" t="s">
        <v>110</v>
      </c>
      <c r="X4" s="176" t="s">
        <v>128</v>
      </c>
      <c r="Y4" s="380" t="s">
        <v>155</v>
      </c>
      <c r="Z4" s="176">
        <v>1</v>
      </c>
      <c r="AA4" s="176">
        <v>0</v>
      </c>
      <c r="AB4" s="176">
        <v>0</v>
      </c>
      <c r="AC4" s="342">
        <v>1</v>
      </c>
      <c r="AD4" s="176">
        <v>1</v>
      </c>
      <c r="AE4" s="176">
        <v>0</v>
      </c>
      <c r="AF4" s="176">
        <v>0</v>
      </c>
      <c r="AG4" s="342">
        <v>1</v>
      </c>
      <c r="AH4" s="176">
        <v>0</v>
      </c>
      <c r="AI4" s="176">
        <v>0</v>
      </c>
      <c r="AJ4" s="176">
        <v>0</v>
      </c>
      <c r="AK4" s="342">
        <v>0</v>
      </c>
      <c r="AL4" s="176">
        <v>0</v>
      </c>
      <c r="AM4" s="176">
        <v>0</v>
      </c>
      <c r="AN4" s="176">
        <v>0</v>
      </c>
      <c r="AO4" s="342">
        <v>0</v>
      </c>
      <c r="AT4" s="517" t="s">
        <v>504</v>
      </c>
      <c r="AU4" s="518">
        <v>9</v>
      </c>
    </row>
    <row r="5" spans="1:47" ht="14.95" customHeight="1" thickBot="1" x14ac:dyDescent="0.35">
      <c r="A5" s="155" t="s">
        <v>106</v>
      </c>
      <c r="B5" s="157" t="s">
        <v>41</v>
      </c>
      <c r="C5" s="157" t="s">
        <v>34</v>
      </c>
      <c r="D5" s="157" t="s">
        <v>84</v>
      </c>
      <c r="E5" s="158" t="s">
        <v>1</v>
      </c>
      <c r="F5" s="158">
        <v>25</v>
      </c>
      <c r="G5" s="158">
        <v>17</v>
      </c>
      <c r="H5" s="375">
        <v>1</v>
      </c>
      <c r="I5" s="375">
        <v>0</v>
      </c>
      <c r="J5" s="375">
        <v>5</v>
      </c>
      <c r="K5" s="375">
        <v>0</v>
      </c>
      <c r="L5" s="375">
        <v>0</v>
      </c>
      <c r="M5" s="375">
        <v>0</v>
      </c>
      <c r="N5" s="375">
        <v>0</v>
      </c>
      <c r="O5" s="375">
        <v>0</v>
      </c>
      <c r="P5" s="375">
        <v>0</v>
      </c>
      <c r="Q5" s="375">
        <v>0</v>
      </c>
      <c r="R5" s="375">
        <v>3</v>
      </c>
      <c r="S5" s="162"/>
      <c r="T5" s="163" t="s">
        <v>253</v>
      </c>
      <c r="U5" s="164" t="s">
        <v>146</v>
      </c>
      <c r="V5" s="162" t="s">
        <v>141</v>
      </c>
      <c r="W5" s="162" t="s">
        <v>127</v>
      </c>
      <c r="X5" s="159" t="s">
        <v>112</v>
      </c>
      <c r="Y5" s="379" t="s">
        <v>179</v>
      </c>
      <c r="Z5" s="159">
        <v>1</v>
      </c>
      <c r="AA5" s="159">
        <v>1</v>
      </c>
      <c r="AB5" s="159">
        <v>0</v>
      </c>
      <c r="AC5" s="523">
        <v>0</v>
      </c>
      <c r="AD5" s="159">
        <v>0</v>
      </c>
      <c r="AE5" s="159">
        <v>0</v>
      </c>
      <c r="AF5" s="159">
        <v>0</v>
      </c>
      <c r="AG5" s="523">
        <v>0</v>
      </c>
      <c r="AH5" s="159">
        <v>1</v>
      </c>
      <c r="AI5" s="159">
        <v>1</v>
      </c>
      <c r="AJ5" s="159">
        <v>0</v>
      </c>
      <c r="AK5" s="523">
        <v>0</v>
      </c>
      <c r="AL5" s="159">
        <v>0</v>
      </c>
      <c r="AM5" s="159">
        <v>0</v>
      </c>
      <c r="AN5" s="159">
        <v>0</v>
      </c>
      <c r="AO5" s="523">
        <v>0</v>
      </c>
      <c r="AT5" s="517" t="s">
        <v>505</v>
      </c>
      <c r="AU5" s="518">
        <v>0</v>
      </c>
    </row>
    <row r="6" spans="1:47" ht="14.95" customHeight="1" thickBot="1" x14ac:dyDescent="0.3">
      <c r="A6" s="170" t="s">
        <v>219</v>
      </c>
      <c r="B6" s="171" t="s">
        <v>41</v>
      </c>
      <c r="C6" s="171" t="s">
        <v>33</v>
      </c>
      <c r="D6" s="171" t="s">
        <v>211</v>
      </c>
      <c r="E6" s="172" t="s">
        <v>3</v>
      </c>
      <c r="F6" s="172">
        <v>21</v>
      </c>
      <c r="G6" s="172">
        <v>34</v>
      </c>
      <c r="H6" s="374">
        <v>0</v>
      </c>
      <c r="I6" s="374">
        <v>0</v>
      </c>
      <c r="J6" s="374">
        <v>3</v>
      </c>
      <c r="K6" s="374">
        <v>3</v>
      </c>
      <c r="L6" s="374">
        <v>0</v>
      </c>
      <c r="M6" s="374">
        <v>0</v>
      </c>
      <c r="N6" s="374">
        <v>0</v>
      </c>
      <c r="O6" s="374">
        <v>0</v>
      </c>
      <c r="P6" s="374">
        <v>1</v>
      </c>
      <c r="Q6" s="374">
        <v>0</v>
      </c>
      <c r="R6" s="374">
        <v>5</v>
      </c>
      <c r="S6" s="173"/>
      <c r="T6" s="174" t="s">
        <v>187</v>
      </c>
      <c r="U6" s="175" t="s">
        <v>116</v>
      </c>
      <c r="V6" s="173" t="s">
        <v>127</v>
      </c>
      <c r="W6" s="173" t="s">
        <v>141</v>
      </c>
      <c r="X6" s="176" t="s">
        <v>112</v>
      </c>
      <c r="Y6" s="380" t="s">
        <v>179</v>
      </c>
      <c r="Z6" s="176">
        <v>1</v>
      </c>
      <c r="AA6" s="176">
        <v>0</v>
      </c>
      <c r="AB6" s="176">
        <v>0</v>
      </c>
      <c r="AC6" s="342">
        <v>1</v>
      </c>
      <c r="AD6" s="176">
        <v>1</v>
      </c>
      <c r="AE6" s="176">
        <v>0</v>
      </c>
      <c r="AF6" s="176">
        <v>0</v>
      </c>
      <c r="AG6" s="342">
        <v>1</v>
      </c>
      <c r="AH6" s="176">
        <v>0</v>
      </c>
      <c r="AI6" s="176">
        <v>0</v>
      </c>
      <c r="AJ6" s="176">
        <v>0</v>
      </c>
      <c r="AK6" s="342">
        <v>0</v>
      </c>
      <c r="AL6" s="176">
        <v>0</v>
      </c>
      <c r="AM6" s="176">
        <v>0</v>
      </c>
      <c r="AN6" s="176">
        <v>0</v>
      </c>
      <c r="AO6" s="342">
        <v>0</v>
      </c>
      <c r="AT6" s="517" t="s">
        <v>506</v>
      </c>
      <c r="AU6" s="518">
        <v>16</v>
      </c>
    </row>
    <row r="7" spans="1:47" ht="14.95" customHeight="1" thickBot="1" x14ac:dyDescent="0.3">
      <c r="A7" s="170" t="s">
        <v>301</v>
      </c>
      <c r="B7" s="171" t="s">
        <v>41</v>
      </c>
      <c r="C7" s="171" t="s">
        <v>31</v>
      </c>
      <c r="D7" s="171" t="s">
        <v>211</v>
      </c>
      <c r="E7" s="172" t="s">
        <v>1</v>
      </c>
      <c r="F7" s="172">
        <v>44</v>
      </c>
      <c r="G7" s="172">
        <v>12</v>
      </c>
      <c r="H7" s="374">
        <v>1</v>
      </c>
      <c r="I7" s="374">
        <v>0</v>
      </c>
      <c r="J7" s="374">
        <v>6</v>
      </c>
      <c r="K7" s="374">
        <v>4</v>
      </c>
      <c r="L7" s="374">
        <v>0</v>
      </c>
      <c r="M7" s="374">
        <v>2</v>
      </c>
      <c r="N7" s="374">
        <v>0</v>
      </c>
      <c r="O7" s="374">
        <v>0</v>
      </c>
      <c r="P7" s="374">
        <v>0</v>
      </c>
      <c r="Q7" s="374">
        <v>0</v>
      </c>
      <c r="R7" s="374">
        <v>2</v>
      </c>
      <c r="S7" s="173"/>
      <c r="T7" s="324" t="s">
        <v>323</v>
      </c>
      <c r="U7" s="175" t="s">
        <v>116</v>
      </c>
      <c r="V7" s="173" t="s">
        <v>139</v>
      </c>
      <c r="W7" s="173" t="s">
        <v>110</v>
      </c>
      <c r="X7" s="176" t="s">
        <v>112</v>
      </c>
      <c r="Y7" s="380" t="s">
        <v>178</v>
      </c>
      <c r="Z7" s="176">
        <v>1</v>
      </c>
      <c r="AA7" s="176">
        <v>1</v>
      </c>
      <c r="AB7" s="176">
        <v>0</v>
      </c>
      <c r="AC7" s="342">
        <v>0</v>
      </c>
      <c r="AD7" s="176">
        <v>1</v>
      </c>
      <c r="AE7" s="176">
        <v>1</v>
      </c>
      <c r="AF7" s="176">
        <v>0</v>
      </c>
      <c r="AG7" s="342">
        <v>0</v>
      </c>
      <c r="AH7" s="176">
        <v>0</v>
      </c>
      <c r="AI7" s="176">
        <v>0</v>
      </c>
      <c r="AJ7" s="176">
        <v>0</v>
      </c>
      <c r="AK7" s="342">
        <v>0</v>
      </c>
      <c r="AL7" s="176">
        <v>0</v>
      </c>
      <c r="AM7" s="176">
        <v>0</v>
      </c>
      <c r="AN7" s="176">
        <v>0</v>
      </c>
      <c r="AO7" s="342">
        <v>0</v>
      </c>
      <c r="AT7" s="517" t="s">
        <v>507</v>
      </c>
      <c r="AU7" s="518">
        <v>408</v>
      </c>
    </row>
    <row r="8" spans="1:47" ht="14.95" customHeight="1" thickBot="1" x14ac:dyDescent="0.35">
      <c r="A8" s="170" t="s">
        <v>226</v>
      </c>
      <c r="B8" s="171" t="s">
        <v>161</v>
      </c>
      <c r="C8" s="171" t="s">
        <v>34</v>
      </c>
      <c r="D8" s="171" t="s">
        <v>522</v>
      </c>
      <c r="E8" s="172" t="s">
        <v>1</v>
      </c>
      <c r="F8" s="172">
        <v>34</v>
      </c>
      <c r="G8" s="172">
        <v>29</v>
      </c>
      <c r="H8" s="374" t="s">
        <v>69</v>
      </c>
      <c r="I8" s="374" t="s">
        <v>69</v>
      </c>
      <c r="J8" s="374">
        <v>6</v>
      </c>
      <c r="K8" s="374">
        <v>2</v>
      </c>
      <c r="L8" s="374">
        <v>0</v>
      </c>
      <c r="M8" s="374">
        <v>0</v>
      </c>
      <c r="N8" s="374">
        <v>0</v>
      </c>
      <c r="O8" s="374">
        <v>0</v>
      </c>
      <c r="P8" s="374" t="s">
        <v>69</v>
      </c>
      <c r="Q8" s="374" t="s">
        <v>69</v>
      </c>
      <c r="R8" s="374">
        <v>5</v>
      </c>
      <c r="S8" s="173"/>
      <c r="T8" s="181" t="s">
        <v>523</v>
      </c>
      <c r="U8" s="175" t="s">
        <v>119</v>
      </c>
      <c r="V8" s="173" t="s">
        <v>110</v>
      </c>
      <c r="W8" s="173" t="s">
        <v>100</v>
      </c>
      <c r="X8" s="177" t="s">
        <v>131</v>
      </c>
      <c r="Y8" s="380" t="s">
        <v>132</v>
      </c>
      <c r="Z8" s="176">
        <v>1</v>
      </c>
      <c r="AA8" s="176">
        <v>1</v>
      </c>
      <c r="AB8" s="176">
        <v>0</v>
      </c>
      <c r="AC8" s="342">
        <v>0</v>
      </c>
      <c r="AD8" s="176">
        <v>1</v>
      </c>
      <c r="AE8" s="176">
        <v>1</v>
      </c>
      <c r="AF8" s="176">
        <v>0</v>
      </c>
      <c r="AG8" s="342">
        <v>0</v>
      </c>
      <c r="AH8" s="176">
        <v>0</v>
      </c>
      <c r="AI8" s="176">
        <v>0</v>
      </c>
      <c r="AJ8" s="176">
        <v>0</v>
      </c>
      <c r="AK8" s="342">
        <v>0</v>
      </c>
      <c r="AL8" s="176">
        <v>0</v>
      </c>
      <c r="AM8" s="176">
        <v>0</v>
      </c>
      <c r="AN8" s="176">
        <v>0</v>
      </c>
      <c r="AO8" s="342">
        <v>0</v>
      </c>
      <c r="AT8" s="519"/>
      <c r="AU8" s="520"/>
    </row>
    <row r="9" spans="1:47" ht="14.95" customHeight="1" thickBot="1" x14ac:dyDescent="0.35">
      <c r="A9" s="170" t="s">
        <v>562</v>
      </c>
      <c r="B9" s="171" t="s">
        <v>161</v>
      </c>
      <c r="C9" s="171" t="s">
        <v>99</v>
      </c>
      <c r="D9" s="171" t="s">
        <v>578</v>
      </c>
      <c r="E9" s="172" t="s">
        <v>1</v>
      </c>
      <c r="F9" s="172">
        <v>33</v>
      </c>
      <c r="G9" s="172">
        <v>15</v>
      </c>
      <c r="H9" s="374" t="s">
        <v>69</v>
      </c>
      <c r="I9" s="374" t="s">
        <v>69</v>
      </c>
      <c r="J9" s="374">
        <v>5</v>
      </c>
      <c r="K9" s="374">
        <v>4</v>
      </c>
      <c r="L9" s="374">
        <v>0</v>
      </c>
      <c r="M9" s="374">
        <v>0</v>
      </c>
      <c r="N9" s="374">
        <v>0</v>
      </c>
      <c r="O9" s="374">
        <v>0</v>
      </c>
      <c r="P9" s="374" t="s">
        <v>69</v>
      </c>
      <c r="Q9" s="374" t="s">
        <v>69</v>
      </c>
      <c r="R9" s="374">
        <v>3</v>
      </c>
      <c r="S9" s="173"/>
      <c r="T9" s="181" t="s">
        <v>581</v>
      </c>
      <c r="U9" s="175" t="s">
        <v>116</v>
      </c>
      <c r="V9" s="173" t="s">
        <v>100</v>
      </c>
      <c r="W9" s="173" t="s">
        <v>100</v>
      </c>
      <c r="X9" s="177" t="s">
        <v>117</v>
      </c>
      <c r="Y9" s="380" t="s">
        <v>132</v>
      </c>
      <c r="Z9" s="176">
        <v>1</v>
      </c>
      <c r="AA9" s="176">
        <v>1</v>
      </c>
      <c r="AB9" s="176">
        <v>0</v>
      </c>
      <c r="AC9" s="342">
        <v>0</v>
      </c>
      <c r="AD9" s="176">
        <v>1</v>
      </c>
      <c r="AE9" s="176">
        <v>1</v>
      </c>
      <c r="AF9" s="176">
        <v>0</v>
      </c>
      <c r="AG9" s="342">
        <v>0</v>
      </c>
      <c r="AH9" s="176">
        <v>0</v>
      </c>
      <c r="AI9" s="176">
        <v>0</v>
      </c>
      <c r="AJ9" s="176">
        <v>0</v>
      </c>
      <c r="AK9" s="342">
        <v>0</v>
      </c>
      <c r="AL9" s="176">
        <v>0</v>
      </c>
      <c r="AM9" s="176">
        <v>0</v>
      </c>
      <c r="AN9" s="176">
        <v>0</v>
      </c>
      <c r="AO9" s="342">
        <v>0</v>
      </c>
    </row>
    <row r="10" spans="1:47" ht="14.95" customHeight="1" thickBot="1" x14ac:dyDescent="0.3">
      <c r="A10" s="187" t="s">
        <v>240</v>
      </c>
      <c r="B10" s="188" t="s">
        <v>231</v>
      </c>
      <c r="C10" s="188" t="s">
        <v>33</v>
      </c>
      <c r="D10" s="188" t="s">
        <v>241</v>
      </c>
      <c r="E10" s="184" t="s">
        <v>3</v>
      </c>
      <c r="F10" s="184">
        <v>0</v>
      </c>
      <c r="G10" s="184">
        <v>24</v>
      </c>
      <c r="H10" s="373">
        <v>0</v>
      </c>
      <c r="I10" s="373">
        <v>0</v>
      </c>
      <c r="J10" s="373">
        <v>0</v>
      </c>
      <c r="K10" s="373">
        <v>0</v>
      </c>
      <c r="L10" s="373">
        <v>0</v>
      </c>
      <c r="M10" s="373">
        <v>0</v>
      </c>
      <c r="N10" s="373">
        <v>0</v>
      </c>
      <c r="O10" s="373">
        <v>0</v>
      </c>
      <c r="P10" s="373">
        <v>0</v>
      </c>
      <c r="Q10" s="373">
        <v>0</v>
      </c>
      <c r="R10" s="373">
        <v>3</v>
      </c>
      <c r="S10" s="186">
        <v>7052</v>
      </c>
      <c r="T10" s="204" t="s">
        <v>534</v>
      </c>
      <c r="U10" s="186" t="s">
        <v>116</v>
      </c>
      <c r="V10" s="186" t="s">
        <v>115</v>
      </c>
      <c r="W10" s="186" t="s">
        <v>141</v>
      </c>
      <c r="X10" s="186" t="s">
        <v>146</v>
      </c>
      <c r="Y10" s="191" t="s">
        <v>131</v>
      </c>
      <c r="Z10" s="186">
        <v>1</v>
      </c>
      <c r="AA10" s="186">
        <v>0</v>
      </c>
      <c r="AB10" s="186">
        <v>0</v>
      </c>
      <c r="AC10" s="341">
        <v>1</v>
      </c>
      <c r="AD10" s="186">
        <v>0</v>
      </c>
      <c r="AE10" s="186">
        <v>0</v>
      </c>
      <c r="AF10" s="186">
        <v>0</v>
      </c>
      <c r="AG10" s="341">
        <v>0</v>
      </c>
      <c r="AH10" s="186">
        <v>0</v>
      </c>
      <c r="AI10" s="186">
        <v>0</v>
      </c>
      <c r="AJ10" s="186">
        <v>0</v>
      </c>
      <c r="AK10" s="341">
        <v>0</v>
      </c>
      <c r="AL10" s="186">
        <v>1</v>
      </c>
      <c r="AM10" s="186">
        <v>0</v>
      </c>
      <c r="AN10" s="186">
        <v>0</v>
      </c>
      <c r="AO10" s="341">
        <v>1</v>
      </c>
    </row>
    <row r="11" spans="1:47" ht="14.95" customHeight="1" thickBot="1" x14ac:dyDescent="0.3">
      <c r="A11" s="187" t="s">
        <v>242</v>
      </c>
      <c r="B11" s="188" t="s">
        <v>231</v>
      </c>
      <c r="C11" s="188" t="s">
        <v>95</v>
      </c>
      <c r="D11" s="188" t="s">
        <v>206</v>
      </c>
      <c r="E11" s="184" t="s">
        <v>3</v>
      </c>
      <c r="F11" s="184">
        <v>24</v>
      </c>
      <c r="G11" s="184">
        <v>29</v>
      </c>
      <c r="H11" s="373">
        <v>1</v>
      </c>
      <c r="I11" s="373">
        <v>1</v>
      </c>
      <c r="J11" s="373">
        <v>4</v>
      </c>
      <c r="K11" s="373">
        <v>2</v>
      </c>
      <c r="L11" s="373">
        <v>0</v>
      </c>
      <c r="M11" s="373">
        <v>0</v>
      </c>
      <c r="N11" s="373">
        <v>0</v>
      </c>
      <c r="O11" s="373">
        <v>0</v>
      </c>
      <c r="P11" s="373">
        <v>1</v>
      </c>
      <c r="Q11" s="373">
        <v>0</v>
      </c>
      <c r="R11" s="373">
        <v>5</v>
      </c>
      <c r="S11" s="189">
        <v>6045</v>
      </c>
      <c r="T11" s="198" t="s">
        <v>735</v>
      </c>
      <c r="U11" s="190" t="s">
        <v>159</v>
      </c>
      <c r="V11" s="189" t="s">
        <v>139</v>
      </c>
      <c r="W11" s="189" t="s">
        <v>110</v>
      </c>
      <c r="X11" s="186" t="s">
        <v>128</v>
      </c>
      <c r="Y11" s="389" t="s">
        <v>131</v>
      </c>
      <c r="Z11" s="186">
        <v>1</v>
      </c>
      <c r="AA11" s="186">
        <v>0</v>
      </c>
      <c r="AB11" s="186">
        <v>0</v>
      </c>
      <c r="AC11" s="341">
        <v>1</v>
      </c>
      <c r="AD11" s="186">
        <v>0</v>
      </c>
      <c r="AE11" s="186">
        <v>0</v>
      </c>
      <c r="AF11" s="186">
        <v>0</v>
      </c>
      <c r="AG11" s="341">
        <v>0</v>
      </c>
      <c r="AH11" s="186">
        <v>0</v>
      </c>
      <c r="AI11" s="186">
        <v>0</v>
      </c>
      <c r="AJ11" s="186">
        <v>0</v>
      </c>
      <c r="AK11" s="341">
        <v>0</v>
      </c>
      <c r="AL11" s="186">
        <v>1</v>
      </c>
      <c r="AM11" s="186">
        <v>0</v>
      </c>
      <c r="AN11" s="186">
        <v>0</v>
      </c>
      <c r="AO11" s="341">
        <v>1</v>
      </c>
    </row>
    <row r="12" spans="1:47" ht="14.95" customHeight="1" thickBot="1" x14ac:dyDescent="0.3">
      <c r="A12" s="187" t="s">
        <v>174</v>
      </c>
      <c r="B12" s="188" t="s">
        <v>231</v>
      </c>
      <c r="C12" s="188" t="s">
        <v>243</v>
      </c>
      <c r="D12" s="188" t="s">
        <v>235</v>
      </c>
      <c r="E12" s="184" t="s">
        <v>1</v>
      </c>
      <c r="F12" s="184">
        <v>64</v>
      </c>
      <c r="G12" s="184">
        <v>3</v>
      </c>
      <c r="H12" s="373">
        <v>1</v>
      </c>
      <c r="I12" s="373">
        <v>0</v>
      </c>
      <c r="J12" s="373">
        <v>12</v>
      </c>
      <c r="K12" s="373">
        <v>2</v>
      </c>
      <c r="L12" s="373">
        <v>0</v>
      </c>
      <c r="M12" s="373">
        <v>0</v>
      </c>
      <c r="N12" s="373">
        <v>0</v>
      </c>
      <c r="O12" s="373">
        <v>0</v>
      </c>
      <c r="P12" s="373">
        <v>0</v>
      </c>
      <c r="Q12" s="373">
        <v>0</v>
      </c>
      <c r="R12" s="373">
        <v>0</v>
      </c>
      <c r="S12" s="189">
        <v>13268</v>
      </c>
      <c r="T12" s="310" t="s">
        <v>789</v>
      </c>
      <c r="U12" s="190" t="s">
        <v>144</v>
      </c>
      <c r="V12" s="189" t="s">
        <v>139</v>
      </c>
      <c r="W12" s="189" t="s">
        <v>115</v>
      </c>
      <c r="X12" s="186" t="s">
        <v>159</v>
      </c>
      <c r="Y12" s="186" t="s">
        <v>131</v>
      </c>
      <c r="Z12" s="186">
        <v>1</v>
      </c>
      <c r="AA12" s="186">
        <v>1</v>
      </c>
      <c r="AB12" s="186">
        <v>0</v>
      </c>
      <c r="AC12" s="341">
        <v>0</v>
      </c>
      <c r="AD12" s="186">
        <v>0</v>
      </c>
      <c r="AE12" s="186">
        <v>0</v>
      </c>
      <c r="AF12" s="186">
        <v>0</v>
      </c>
      <c r="AG12" s="341">
        <v>0</v>
      </c>
      <c r="AH12" s="186">
        <v>0</v>
      </c>
      <c r="AI12" s="186">
        <v>0</v>
      </c>
      <c r="AJ12" s="186">
        <v>0</v>
      </c>
      <c r="AK12" s="341">
        <v>0</v>
      </c>
      <c r="AL12" s="186">
        <v>1</v>
      </c>
      <c r="AM12" s="186">
        <v>1</v>
      </c>
      <c r="AN12" s="186">
        <v>0</v>
      </c>
      <c r="AO12" s="341">
        <v>0</v>
      </c>
    </row>
    <row r="13" spans="1:47" ht="14.95" thickBot="1" x14ac:dyDescent="0.3">
      <c r="A13" s="104"/>
      <c r="B13" s="105"/>
      <c r="C13" s="765" t="s">
        <v>71</v>
      </c>
      <c r="D13" s="766"/>
      <c r="E13" s="767"/>
      <c r="F13" s="430">
        <f>SUM(F3:F7)</f>
        <v>107</v>
      </c>
      <c r="G13" s="430">
        <f t="shared" ref="G13:R13" si="0">SUM(G3:G7)</f>
        <v>155</v>
      </c>
      <c r="H13" s="430">
        <f t="shared" si="0"/>
        <v>2</v>
      </c>
      <c r="I13" s="430">
        <f t="shared" si="0"/>
        <v>0</v>
      </c>
      <c r="J13" s="430">
        <f t="shared" si="0"/>
        <v>17</v>
      </c>
      <c r="K13" s="430">
        <f t="shared" si="0"/>
        <v>8</v>
      </c>
      <c r="L13" s="430">
        <f t="shared" si="0"/>
        <v>0</v>
      </c>
      <c r="M13" s="430">
        <f t="shared" si="0"/>
        <v>2</v>
      </c>
      <c r="N13" s="430">
        <f t="shared" si="0"/>
        <v>2</v>
      </c>
      <c r="O13" s="430">
        <f t="shared" si="0"/>
        <v>0</v>
      </c>
      <c r="P13" s="430">
        <f t="shared" si="0"/>
        <v>3</v>
      </c>
      <c r="Q13" s="430">
        <f t="shared" si="0"/>
        <v>0</v>
      </c>
      <c r="R13" s="430">
        <f t="shared" si="0"/>
        <v>24</v>
      </c>
      <c r="S13" s="431"/>
      <c r="T13" s="431"/>
      <c r="U13" s="431"/>
      <c r="V13" s="431"/>
      <c r="W13" s="431"/>
      <c r="X13" s="426"/>
      <c r="Y13" s="434" t="s">
        <v>71</v>
      </c>
      <c r="Z13" s="430">
        <f t="shared" ref="Z13:AO13" si="1">SUM(Z3:Z7)</f>
        <v>5</v>
      </c>
      <c r="AA13" s="430">
        <f t="shared" si="1"/>
        <v>2</v>
      </c>
      <c r="AB13" s="430">
        <f t="shared" si="1"/>
        <v>0</v>
      </c>
      <c r="AC13" s="430">
        <f t="shared" si="1"/>
        <v>3</v>
      </c>
      <c r="AD13" s="432">
        <f t="shared" si="1"/>
        <v>3</v>
      </c>
      <c r="AE13" s="432">
        <f t="shared" si="1"/>
        <v>1</v>
      </c>
      <c r="AF13" s="432">
        <f t="shared" si="1"/>
        <v>0</v>
      </c>
      <c r="AG13" s="432">
        <f t="shared" si="1"/>
        <v>2</v>
      </c>
      <c r="AH13" s="433">
        <f t="shared" si="1"/>
        <v>2</v>
      </c>
      <c r="AI13" s="433">
        <f t="shared" si="1"/>
        <v>1</v>
      </c>
      <c r="AJ13" s="433">
        <f t="shared" si="1"/>
        <v>0</v>
      </c>
      <c r="AK13" s="433">
        <f t="shared" si="1"/>
        <v>1</v>
      </c>
      <c r="AL13" s="430">
        <f t="shared" si="1"/>
        <v>0</v>
      </c>
      <c r="AM13" s="430">
        <f t="shared" si="1"/>
        <v>0</v>
      </c>
      <c r="AN13" s="430">
        <f t="shared" si="1"/>
        <v>0</v>
      </c>
      <c r="AO13" s="430">
        <f t="shared" si="1"/>
        <v>0</v>
      </c>
    </row>
    <row r="14" spans="1:47" ht="14.95" thickBot="1" x14ac:dyDescent="0.3">
      <c r="A14" s="199"/>
      <c r="B14" s="200"/>
      <c r="C14" s="454" t="s">
        <v>237</v>
      </c>
      <c r="D14" s="465"/>
      <c r="E14" s="466"/>
      <c r="F14" s="457">
        <f>SUM(F10:F12)</f>
        <v>88</v>
      </c>
      <c r="G14" s="457">
        <f t="shared" ref="G14:R14" si="2">SUM(G10:G12)</f>
        <v>56</v>
      </c>
      <c r="H14" s="457">
        <f t="shared" si="2"/>
        <v>2</v>
      </c>
      <c r="I14" s="457">
        <f t="shared" si="2"/>
        <v>1</v>
      </c>
      <c r="J14" s="457">
        <f t="shared" si="2"/>
        <v>16</v>
      </c>
      <c r="K14" s="457">
        <f t="shared" si="2"/>
        <v>4</v>
      </c>
      <c r="L14" s="457">
        <f t="shared" si="2"/>
        <v>0</v>
      </c>
      <c r="M14" s="457">
        <f t="shared" si="2"/>
        <v>0</v>
      </c>
      <c r="N14" s="457">
        <f t="shared" si="2"/>
        <v>0</v>
      </c>
      <c r="O14" s="457">
        <f t="shared" si="2"/>
        <v>0</v>
      </c>
      <c r="P14" s="457">
        <f t="shared" si="2"/>
        <v>1</v>
      </c>
      <c r="Q14" s="457">
        <f t="shared" si="2"/>
        <v>0</v>
      </c>
      <c r="R14" s="457">
        <f t="shared" si="2"/>
        <v>8</v>
      </c>
      <c r="S14" s="463"/>
      <c r="T14" s="463"/>
      <c r="U14" s="463"/>
      <c r="V14" s="463"/>
      <c r="W14" s="463"/>
      <c r="X14" s="459"/>
      <c r="Y14" s="464" t="s">
        <v>237</v>
      </c>
      <c r="Z14" s="457">
        <f t="shared" ref="Z14:AO14" si="3">SUM(Z10:Z12)</f>
        <v>3</v>
      </c>
      <c r="AA14" s="457">
        <f t="shared" si="3"/>
        <v>1</v>
      </c>
      <c r="AB14" s="457">
        <f t="shared" si="3"/>
        <v>0</v>
      </c>
      <c r="AC14" s="457">
        <f t="shared" si="3"/>
        <v>2</v>
      </c>
      <c r="AD14" s="461">
        <f t="shared" si="3"/>
        <v>0</v>
      </c>
      <c r="AE14" s="461">
        <f t="shared" si="3"/>
        <v>0</v>
      </c>
      <c r="AF14" s="461">
        <f t="shared" si="3"/>
        <v>0</v>
      </c>
      <c r="AG14" s="461">
        <f t="shared" si="3"/>
        <v>0</v>
      </c>
      <c r="AH14" s="462">
        <f t="shared" si="3"/>
        <v>0</v>
      </c>
      <c r="AI14" s="462">
        <f t="shared" si="3"/>
        <v>0</v>
      </c>
      <c r="AJ14" s="462">
        <f t="shared" si="3"/>
        <v>0</v>
      </c>
      <c r="AK14" s="462">
        <f t="shared" si="3"/>
        <v>0</v>
      </c>
      <c r="AL14" s="457">
        <f t="shared" si="3"/>
        <v>3</v>
      </c>
      <c r="AM14" s="457">
        <f t="shared" si="3"/>
        <v>1</v>
      </c>
      <c r="AN14" s="457">
        <f t="shared" si="3"/>
        <v>0</v>
      </c>
      <c r="AO14" s="457">
        <f t="shared" si="3"/>
        <v>2</v>
      </c>
    </row>
    <row r="15" spans="1:47" ht="14.95" thickBot="1" x14ac:dyDescent="0.3">
      <c r="A15" s="104"/>
      <c r="B15" s="105"/>
      <c r="C15" s="728" t="s">
        <v>70</v>
      </c>
      <c r="D15" s="729"/>
      <c r="E15" s="730"/>
      <c r="F15" s="128">
        <f t="shared" ref="F15:R15" si="4">SUM(F3:F12)</f>
        <v>262</v>
      </c>
      <c r="G15" s="128">
        <f t="shared" si="4"/>
        <v>255</v>
      </c>
      <c r="H15" s="128">
        <f t="shared" si="4"/>
        <v>4</v>
      </c>
      <c r="I15" s="128">
        <f t="shared" si="4"/>
        <v>1</v>
      </c>
      <c r="J15" s="128">
        <f t="shared" si="4"/>
        <v>44</v>
      </c>
      <c r="K15" s="128">
        <f t="shared" si="4"/>
        <v>18</v>
      </c>
      <c r="L15" s="128">
        <f t="shared" si="4"/>
        <v>0</v>
      </c>
      <c r="M15" s="128">
        <f t="shared" si="4"/>
        <v>2</v>
      </c>
      <c r="N15" s="128">
        <f t="shared" si="4"/>
        <v>2</v>
      </c>
      <c r="O15" s="128">
        <f t="shared" si="4"/>
        <v>0</v>
      </c>
      <c r="P15" s="128">
        <f t="shared" si="4"/>
        <v>4</v>
      </c>
      <c r="Q15" s="128">
        <f t="shared" si="4"/>
        <v>0</v>
      </c>
      <c r="R15" s="128">
        <f t="shared" si="4"/>
        <v>40</v>
      </c>
      <c r="S15" s="125"/>
      <c r="T15" s="125"/>
      <c r="U15" s="125"/>
      <c r="V15" s="125"/>
      <c r="W15" s="125"/>
      <c r="X15" s="12"/>
      <c r="Y15" s="133" t="s">
        <v>70</v>
      </c>
      <c r="Z15" s="128">
        <f t="shared" ref="Z15:AO15" si="5">SUM(Z3:Z12)</f>
        <v>10</v>
      </c>
      <c r="AA15" s="128">
        <f t="shared" si="5"/>
        <v>5</v>
      </c>
      <c r="AB15" s="128">
        <f t="shared" si="5"/>
        <v>0</v>
      </c>
      <c r="AC15" s="128">
        <f t="shared" si="5"/>
        <v>5</v>
      </c>
      <c r="AD15" s="126">
        <f t="shared" si="5"/>
        <v>5</v>
      </c>
      <c r="AE15" s="126">
        <f t="shared" si="5"/>
        <v>3</v>
      </c>
      <c r="AF15" s="126">
        <f t="shared" si="5"/>
        <v>0</v>
      </c>
      <c r="AG15" s="126">
        <f t="shared" si="5"/>
        <v>2</v>
      </c>
      <c r="AH15" s="127">
        <f t="shared" si="5"/>
        <v>2</v>
      </c>
      <c r="AI15" s="127">
        <f t="shared" si="5"/>
        <v>1</v>
      </c>
      <c r="AJ15" s="127">
        <f t="shared" si="5"/>
        <v>0</v>
      </c>
      <c r="AK15" s="127">
        <f t="shared" si="5"/>
        <v>1</v>
      </c>
      <c r="AL15" s="128">
        <f t="shared" si="5"/>
        <v>3</v>
      </c>
      <c r="AM15" s="128">
        <f t="shared" si="5"/>
        <v>1</v>
      </c>
      <c r="AN15" s="128">
        <f t="shared" si="5"/>
        <v>0</v>
      </c>
      <c r="AO15" s="128">
        <f t="shared" si="5"/>
        <v>2</v>
      </c>
    </row>
    <row r="16" spans="1:47" x14ac:dyDescent="0.25">
      <c r="A16" s="727" t="s">
        <v>53</v>
      </c>
      <c r="B16" s="687"/>
      <c r="C16" s="687"/>
      <c r="D16" s="687"/>
      <c r="E16" s="687"/>
      <c r="F16" s="687"/>
      <c r="G16" s="687"/>
      <c r="H16" s="687"/>
      <c r="I16" s="687"/>
      <c r="J16" s="687"/>
      <c r="K16" s="687"/>
      <c r="L16" s="687"/>
      <c r="M16" s="687"/>
      <c r="N16" s="687"/>
      <c r="O16" s="687"/>
      <c r="P16" s="687"/>
      <c r="Q16" s="687"/>
      <c r="R16" s="687"/>
    </row>
    <row r="17" spans="1:18" x14ac:dyDescent="0.25">
      <c r="A17" t="s">
        <v>574</v>
      </c>
      <c r="F17" s="13"/>
      <c r="G17" s="13"/>
      <c r="H17" s="12"/>
      <c r="I17" s="13"/>
      <c r="J17" s="13"/>
      <c r="K17" s="13"/>
      <c r="L17" s="13"/>
      <c r="M17" s="13"/>
      <c r="N17" s="13"/>
      <c r="O17" s="13"/>
      <c r="P17" s="13"/>
      <c r="Q17" s="13"/>
      <c r="R17" s="13"/>
    </row>
    <row r="18" spans="1:18" x14ac:dyDescent="0.25">
      <c r="A18" t="s">
        <v>579</v>
      </c>
      <c r="F18" s="13"/>
      <c r="G18" s="13"/>
      <c r="H18" s="12"/>
      <c r="I18" s="13"/>
      <c r="J18" s="13"/>
      <c r="K18" s="13"/>
      <c r="L18" s="13"/>
      <c r="M18" s="13"/>
      <c r="N18" s="13"/>
      <c r="O18" s="13"/>
      <c r="P18" s="13"/>
      <c r="Q18" s="13"/>
      <c r="R18" s="13"/>
    </row>
    <row r="19" spans="1:18" x14ac:dyDescent="0.25">
      <c r="A19" s="183" t="s">
        <v>580</v>
      </c>
      <c r="F19" s="13"/>
      <c r="G19" s="13"/>
      <c r="H19" s="12"/>
      <c r="I19" s="13"/>
      <c r="J19" s="13"/>
      <c r="K19" s="13"/>
      <c r="L19" s="13"/>
      <c r="M19" s="13"/>
      <c r="N19" s="13"/>
      <c r="O19" s="13"/>
      <c r="P19" s="13"/>
      <c r="Q19" s="13"/>
      <c r="R19" s="13"/>
    </row>
    <row r="20" spans="1:18" x14ac:dyDescent="0.25">
      <c r="A20" s="183" t="s">
        <v>236</v>
      </c>
      <c r="F20" s="13"/>
      <c r="G20" s="13"/>
      <c r="H20" s="12"/>
      <c r="I20" s="13"/>
      <c r="J20" s="13"/>
      <c r="K20" s="13"/>
      <c r="L20" s="13"/>
      <c r="M20" s="13"/>
      <c r="N20" s="13"/>
      <c r="O20" s="13"/>
      <c r="P20" s="13"/>
      <c r="Q20" s="13"/>
      <c r="R20" s="13"/>
    </row>
    <row r="21" spans="1:18" x14ac:dyDescent="0.25">
      <c r="A21" s="727" t="s">
        <v>244</v>
      </c>
      <c r="B21" s="687"/>
      <c r="C21" s="687"/>
      <c r="D21" s="687"/>
      <c r="E21" s="687"/>
      <c r="F21" s="687"/>
      <c r="G21" s="687"/>
      <c r="H21" s="687"/>
      <c r="I21" s="687"/>
      <c r="J21" s="687"/>
      <c r="K21" s="687"/>
      <c r="L21" s="687"/>
      <c r="M21" s="687"/>
      <c r="N21" s="687"/>
      <c r="O21" s="687"/>
      <c r="P21" s="687"/>
      <c r="Q21" s="687"/>
      <c r="R21" s="687"/>
    </row>
    <row r="22" spans="1:18" x14ac:dyDescent="0.25">
      <c r="A22" t="s">
        <v>80</v>
      </c>
    </row>
    <row r="23" spans="1:18" x14ac:dyDescent="0.25">
      <c r="A23" s="313"/>
      <c r="B23" s="73" t="s">
        <v>40</v>
      </c>
      <c r="C23" s="73"/>
    </row>
    <row r="24" spans="1:18" x14ac:dyDescent="0.25">
      <c r="A24" s="314"/>
      <c r="B24" s="73" t="s">
        <v>38</v>
      </c>
      <c r="C24" s="73"/>
    </row>
    <row r="25" spans="1:18" x14ac:dyDescent="0.25">
      <c r="A25" s="315"/>
      <c r="B25" s="73" t="s">
        <v>39</v>
      </c>
      <c r="C25" s="73"/>
    </row>
    <row r="26" spans="1:18" ht="16.3" x14ac:dyDescent="0.3">
      <c r="A26" s="681" t="s">
        <v>28</v>
      </c>
    </row>
  </sheetData>
  <mergeCells count="14">
    <mergeCell ref="A21:R21"/>
    <mergeCell ref="Z1:AC1"/>
    <mergeCell ref="AD1:AG1"/>
    <mergeCell ref="AH1:AK1"/>
    <mergeCell ref="AL1:AO1"/>
    <mergeCell ref="C13:E13"/>
    <mergeCell ref="A16:R16"/>
    <mergeCell ref="C15:E15"/>
    <mergeCell ref="P1:R1"/>
    <mergeCell ref="A1:C1"/>
    <mergeCell ref="E1:G1"/>
    <mergeCell ref="H1:I1"/>
    <mergeCell ref="J1:M1"/>
    <mergeCell ref="N1:O1"/>
  </mergeCells>
  <pageMargins left="0.7" right="0.7" top="0.75" bottom="0.75" header="0.3" footer="0.3"/>
  <pageSetup paperSize="9" orientation="portrait" r:id="rId1"/>
  <ignoredErrors>
    <ignoredError sqref="T4 T11" twoDigitTextYear="1"/>
    <ignoredError sqref="F14:AO14 F13:Z13 AB13:AO13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65"/>
  <sheetViews>
    <sheetView workbookViewId="0">
      <selection activeCell="W63" sqref="W63"/>
    </sheetView>
  </sheetViews>
  <sheetFormatPr defaultRowHeight="14.3" x14ac:dyDescent="0.25"/>
  <cols>
    <col min="1" max="2" width="4.75" customWidth="1"/>
    <col min="4" max="7" width="4.75" customWidth="1"/>
    <col min="8" max="10" width="6.75" customWidth="1"/>
    <col min="11" max="16" width="4.75" customWidth="1"/>
  </cols>
  <sheetData>
    <row r="1" spans="1:17" ht="14.95" thickBot="1" x14ac:dyDescent="0.3">
      <c r="A1" s="98" t="s">
        <v>42</v>
      </c>
      <c r="B1" s="99" t="s">
        <v>43</v>
      </c>
      <c r="C1" s="49"/>
      <c r="D1" s="49" t="s">
        <v>0</v>
      </c>
      <c r="E1" s="50" t="s">
        <v>1</v>
      </c>
      <c r="F1" s="49" t="s">
        <v>2</v>
      </c>
      <c r="G1" s="49" t="s">
        <v>3</v>
      </c>
      <c r="H1" s="49" t="s">
        <v>4</v>
      </c>
      <c r="I1" s="49" t="s">
        <v>5</v>
      </c>
      <c r="J1" s="50" t="s">
        <v>44</v>
      </c>
      <c r="K1" s="49" t="s">
        <v>21</v>
      </c>
      <c r="L1" s="49" t="s">
        <v>22</v>
      </c>
      <c r="M1" s="49" t="s">
        <v>59</v>
      </c>
      <c r="N1" s="49" t="s">
        <v>47</v>
      </c>
      <c r="O1" s="49" t="s">
        <v>48</v>
      </c>
      <c r="P1" s="50" t="s">
        <v>45</v>
      </c>
    </row>
    <row r="2" spans="1:17" ht="14.95" thickBot="1" x14ac:dyDescent="0.3">
      <c r="A2" s="136">
        <v>1</v>
      </c>
      <c r="B2" s="118" t="s">
        <v>46</v>
      </c>
      <c r="C2" s="96" t="s">
        <v>30</v>
      </c>
      <c r="D2" s="51">
        <f>Englandplayed</f>
        <v>5</v>
      </c>
      <c r="E2" s="52">
        <f>Englandwon</f>
        <v>5</v>
      </c>
      <c r="F2" s="51">
        <f>Englanddrawn</f>
        <v>0</v>
      </c>
      <c r="G2" s="51">
        <f>Englandlost</f>
        <v>0</v>
      </c>
      <c r="H2" s="51">
        <f>Englandptsscored</f>
        <v>256</v>
      </c>
      <c r="I2" s="51">
        <f>Englandptsagainst</f>
        <v>71</v>
      </c>
      <c r="J2" s="53">
        <f t="shared" ref="J2:J7" si="0">SUM(H2-I2)</f>
        <v>185</v>
      </c>
      <c r="K2" s="54">
        <f>Englandtrybonus</f>
        <v>5</v>
      </c>
      <c r="L2" s="54">
        <f>Englandlosingbonus</f>
        <v>0</v>
      </c>
      <c r="M2" s="54">
        <v>3</v>
      </c>
      <c r="N2" s="51">
        <f>Englandtriesscored</f>
        <v>40</v>
      </c>
      <c r="O2" s="51">
        <f>Englandtriesagainst</f>
        <v>11</v>
      </c>
      <c r="P2" s="53">
        <f t="shared" ref="P2:P7" si="1">SUM(E2*4)+(F2*2)+K2+L2+M2</f>
        <v>28</v>
      </c>
    </row>
    <row r="3" spans="1:17" ht="14.95" thickBot="1" x14ac:dyDescent="0.3">
      <c r="A3" s="100">
        <v>2</v>
      </c>
      <c r="B3" s="118" t="s">
        <v>46</v>
      </c>
      <c r="C3" s="216" t="s">
        <v>33</v>
      </c>
      <c r="D3" s="54">
        <f>Franceplayed</f>
        <v>5</v>
      </c>
      <c r="E3" s="53">
        <f>Francewon</f>
        <v>4</v>
      </c>
      <c r="F3" s="54">
        <f>Francedrawn</f>
        <v>0</v>
      </c>
      <c r="G3" s="54">
        <f>Francelost</f>
        <v>1</v>
      </c>
      <c r="H3" s="54">
        <f>Franceptsscored</f>
        <v>183</v>
      </c>
      <c r="I3" s="54">
        <f>Franceptsagainst</f>
        <v>106</v>
      </c>
      <c r="J3" s="53">
        <f t="shared" si="0"/>
        <v>77</v>
      </c>
      <c r="K3" s="54">
        <f>Francetrybonus</f>
        <v>4</v>
      </c>
      <c r="L3" s="54">
        <f>Francelosingbonus</f>
        <v>1</v>
      </c>
      <c r="M3" s="54">
        <v>0</v>
      </c>
      <c r="N3" s="54">
        <f>Francetriesscored</f>
        <v>24</v>
      </c>
      <c r="O3" s="54">
        <f>Francetriesagainst</f>
        <v>17</v>
      </c>
      <c r="P3" s="53">
        <f t="shared" si="1"/>
        <v>21</v>
      </c>
    </row>
    <row r="4" spans="1:17" ht="14.95" thickBot="1" x14ac:dyDescent="0.3">
      <c r="A4" s="100">
        <v>3</v>
      </c>
      <c r="B4" s="118" t="s">
        <v>46</v>
      </c>
      <c r="C4" s="59" t="s">
        <v>35</v>
      </c>
      <c r="D4" s="54">
        <f>Irelandplayed</f>
        <v>5</v>
      </c>
      <c r="E4" s="53">
        <f>Irelandwon</f>
        <v>2</v>
      </c>
      <c r="F4" s="54">
        <f>Irelanddrawn</f>
        <v>0</v>
      </c>
      <c r="G4" s="54">
        <f>Irelandlost</f>
        <v>3</v>
      </c>
      <c r="H4" s="54">
        <f>Irelandptsscored</f>
        <v>133</v>
      </c>
      <c r="I4" s="54">
        <f>Irelandptsagainst</f>
        <v>128</v>
      </c>
      <c r="J4" s="53">
        <f t="shared" si="0"/>
        <v>5</v>
      </c>
      <c r="K4" s="54">
        <f>Irelandtrybonus</f>
        <v>2</v>
      </c>
      <c r="L4" s="54">
        <f>Irelandlosingbonus</f>
        <v>1</v>
      </c>
      <c r="M4" s="54">
        <v>0</v>
      </c>
      <c r="N4" s="54">
        <f>Irelandtriesscored</f>
        <v>21</v>
      </c>
      <c r="O4" s="54">
        <f>Irelandtriesagainst</f>
        <v>18</v>
      </c>
      <c r="P4" s="53">
        <f t="shared" si="1"/>
        <v>11</v>
      </c>
    </row>
    <row r="5" spans="1:17" ht="14.95" thickBot="1" x14ac:dyDescent="0.3">
      <c r="A5" s="100">
        <v>4</v>
      </c>
      <c r="B5" s="118" t="s">
        <v>46</v>
      </c>
      <c r="C5" s="318" t="s">
        <v>32</v>
      </c>
      <c r="D5" s="54">
        <f>Italyplayed</f>
        <v>5</v>
      </c>
      <c r="E5" s="53">
        <f>Italywon</f>
        <v>2</v>
      </c>
      <c r="F5" s="54">
        <f>Italydrawn</f>
        <v>0</v>
      </c>
      <c r="G5" s="54">
        <f>Italylost</f>
        <v>3</v>
      </c>
      <c r="H5" s="54">
        <f>Italyptsscored</f>
        <v>107</v>
      </c>
      <c r="I5" s="54">
        <f>Italyptsagainst</f>
        <v>155</v>
      </c>
      <c r="J5" s="53">
        <f t="shared" si="0"/>
        <v>-48</v>
      </c>
      <c r="K5" s="54">
        <f>Italytrybonus</f>
        <v>2</v>
      </c>
      <c r="L5" s="54">
        <f>Italylosingbonus</f>
        <v>0</v>
      </c>
      <c r="M5" s="54">
        <v>0</v>
      </c>
      <c r="N5" s="54">
        <f>Italytriesscored</f>
        <v>17</v>
      </c>
      <c r="O5" s="54">
        <f>Italytriesagainst</f>
        <v>24</v>
      </c>
      <c r="P5" s="53">
        <f t="shared" si="1"/>
        <v>10</v>
      </c>
    </row>
    <row r="6" spans="1:17" ht="14.95" thickBot="1" x14ac:dyDescent="0.3">
      <c r="A6" s="100">
        <v>5</v>
      </c>
      <c r="B6" s="118" t="s">
        <v>46</v>
      </c>
      <c r="C6" s="216" t="s">
        <v>34</v>
      </c>
      <c r="D6" s="54">
        <f>Scotlandplayed</f>
        <v>5</v>
      </c>
      <c r="E6" s="53">
        <f>Scotlandwon</f>
        <v>2</v>
      </c>
      <c r="F6" s="54">
        <f>Scotlanddrawn</f>
        <v>0</v>
      </c>
      <c r="G6" s="54">
        <f>Scotlandlost</f>
        <v>3</v>
      </c>
      <c r="H6" s="54">
        <f>Scotlandptsscored</f>
        <v>89</v>
      </c>
      <c r="I6" s="54">
        <f>Scotlandptsagainst</f>
        <v>162</v>
      </c>
      <c r="J6" s="53">
        <f t="shared" si="0"/>
        <v>-73</v>
      </c>
      <c r="K6" s="54">
        <f>Scotlandtrybonus</f>
        <v>1</v>
      </c>
      <c r="L6" s="54">
        <f>Scotlandlosingbonus</f>
        <v>0</v>
      </c>
      <c r="M6" s="54">
        <v>0</v>
      </c>
      <c r="N6" s="54">
        <f>Scotlandtriesscored</f>
        <v>13</v>
      </c>
      <c r="O6" s="54">
        <f>Scotlandtriesagainst</f>
        <v>24</v>
      </c>
      <c r="P6" s="53">
        <f t="shared" si="1"/>
        <v>9</v>
      </c>
    </row>
    <row r="7" spans="1:17" ht="14.95" thickBot="1" x14ac:dyDescent="0.3">
      <c r="A7" s="100">
        <v>6</v>
      </c>
      <c r="B7" s="118" t="s">
        <v>46</v>
      </c>
      <c r="C7" s="58" t="s">
        <v>31</v>
      </c>
      <c r="D7" s="54">
        <f>Walesplayed</f>
        <v>5</v>
      </c>
      <c r="E7" s="53">
        <f>Waleswon</f>
        <v>0</v>
      </c>
      <c r="F7" s="54">
        <f>Walesdrawn</f>
        <v>0</v>
      </c>
      <c r="G7" s="54">
        <f>Waleslost</f>
        <v>5</v>
      </c>
      <c r="H7" s="54">
        <f>Walesptsscored</f>
        <v>71</v>
      </c>
      <c r="I7" s="54">
        <f>Walesptsagainst</f>
        <v>217</v>
      </c>
      <c r="J7" s="53">
        <f t="shared" si="0"/>
        <v>-146</v>
      </c>
      <c r="K7" s="54">
        <f>Walestrybonus</f>
        <v>0</v>
      </c>
      <c r="L7" s="54">
        <f>Waleslosingbonus</f>
        <v>1</v>
      </c>
      <c r="M7" s="54">
        <v>0</v>
      </c>
      <c r="N7" s="54">
        <f>Walestriesscored</f>
        <v>11</v>
      </c>
      <c r="O7" s="54">
        <f>Walestriesagainst</f>
        <v>32</v>
      </c>
      <c r="P7" s="53">
        <f t="shared" si="1"/>
        <v>1</v>
      </c>
    </row>
    <row r="8" spans="1:17" x14ac:dyDescent="0.25">
      <c r="A8" s="55"/>
      <c r="B8" s="56"/>
      <c r="C8" s="60"/>
      <c r="D8" s="57"/>
      <c r="E8" s="57"/>
      <c r="F8" s="57"/>
      <c r="G8" s="57"/>
      <c r="H8" s="57">
        <f>SUM(H2:H7)</f>
        <v>839</v>
      </c>
      <c r="I8" s="57">
        <f>SUM(I2:I7)</f>
        <v>839</v>
      </c>
      <c r="J8" s="57"/>
      <c r="K8" s="57"/>
      <c r="L8" s="57"/>
      <c r="M8" s="57"/>
      <c r="N8" s="57">
        <f t="shared" ref="N8:O8" si="2">SUM(N2:N7)</f>
        <v>126</v>
      </c>
      <c r="O8" s="57">
        <f t="shared" si="2"/>
        <v>126</v>
      </c>
      <c r="P8" s="57"/>
      <c r="Q8" s="57" t="s">
        <v>53</v>
      </c>
    </row>
    <row r="9" spans="1:17" x14ac:dyDescent="0.25">
      <c r="A9" t="s">
        <v>60</v>
      </c>
    </row>
    <row r="10" spans="1:17" ht="15.8" customHeight="1" x14ac:dyDescent="0.25">
      <c r="A10" s="73" t="s">
        <v>77</v>
      </c>
    </row>
    <row r="11" spans="1:17" ht="15.8" customHeight="1" x14ac:dyDescent="0.25">
      <c r="A11" t="s">
        <v>78</v>
      </c>
    </row>
    <row r="12" spans="1:17" ht="15.8" customHeight="1" x14ac:dyDescent="0.25">
      <c r="A12" t="s">
        <v>73</v>
      </c>
    </row>
    <row r="13" spans="1:17" ht="15.8" customHeight="1" x14ac:dyDescent="0.25">
      <c r="A13" t="s">
        <v>79</v>
      </c>
    </row>
    <row r="14" spans="1:17" ht="15.8" customHeight="1" x14ac:dyDescent="0.25"/>
    <row r="15" spans="1:17" ht="15.8" customHeight="1" x14ac:dyDescent="0.25">
      <c r="A15" s="73" t="s">
        <v>327</v>
      </c>
    </row>
    <row r="16" spans="1:17" ht="15.8" customHeight="1" thickBot="1" x14ac:dyDescent="0.3"/>
    <row r="17" spans="1:16" ht="15.8" customHeight="1" thickBot="1" x14ac:dyDescent="0.3">
      <c r="A17" s="98" t="s">
        <v>42</v>
      </c>
      <c r="B17" s="99" t="s">
        <v>43</v>
      </c>
      <c r="C17" s="99"/>
      <c r="D17" s="99" t="s">
        <v>0</v>
      </c>
      <c r="E17" s="435" t="s">
        <v>1</v>
      </c>
      <c r="F17" s="99" t="s">
        <v>2</v>
      </c>
      <c r="G17" s="99" t="s">
        <v>3</v>
      </c>
      <c r="H17" s="99" t="s">
        <v>4</v>
      </c>
      <c r="I17" s="99" t="s">
        <v>5</v>
      </c>
      <c r="J17" s="435" t="s">
        <v>44</v>
      </c>
      <c r="K17" s="99" t="s">
        <v>21</v>
      </c>
      <c r="L17" s="99" t="s">
        <v>22</v>
      </c>
      <c r="M17" s="99" t="s">
        <v>59</v>
      </c>
      <c r="N17" s="99" t="s">
        <v>47</v>
      </c>
      <c r="O17" s="99" t="s">
        <v>48</v>
      </c>
      <c r="P17" s="435" t="s">
        <v>45</v>
      </c>
    </row>
    <row r="18" spans="1:16" ht="15.8" customHeight="1" thickBot="1" x14ac:dyDescent="0.3">
      <c r="A18" s="436">
        <v>1</v>
      </c>
      <c r="B18" s="118" t="s">
        <v>46</v>
      </c>
      <c r="C18" s="437" t="s">
        <v>30</v>
      </c>
      <c r="D18" s="438">
        <v>4</v>
      </c>
      <c r="E18" s="439">
        <v>4</v>
      </c>
      <c r="F18" s="438">
        <v>0</v>
      </c>
      <c r="G18" s="438">
        <v>0</v>
      </c>
      <c r="H18" s="438">
        <v>213</v>
      </c>
      <c r="I18" s="438">
        <v>29</v>
      </c>
      <c r="J18" s="439">
        <v>184</v>
      </c>
      <c r="K18" s="438">
        <v>4</v>
      </c>
      <c r="L18" s="438">
        <v>0</v>
      </c>
      <c r="M18" s="438">
        <v>0</v>
      </c>
      <c r="N18" s="438">
        <v>33</v>
      </c>
      <c r="O18" s="438">
        <v>5</v>
      </c>
      <c r="P18" s="439">
        <v>20</v>
      </c>
    </row>
    <row r="19" spans="1:16" ht="15.8" customHeight="1" thickBot="1" x14ac:dyDescent="0.3">
      <c r="A19" s="436">
        <v>2</v>
      </c>
      <c r="B19" s="118" t="s">
        <v>46</v>
      </c>
      <c r="C19" s="440" t="s">
        <v>33</v>
      </c>
      <c r="D19" s="438">
        <v>4</v>
      </c>
      <c r="E19" s="439">
        <v>4</v>
      </c>
      <c r="F19" s="438">
        <v>0</v>
      </c>
      <c r="G19" s="438">
        <v>0</v>
      </c>
      <c r="H19" s="438">
        <v>141</v>
      </c>
      <c r="I19" s="438">
        <v>63</v>
      </c>
      <c r="J19" s="439">
        <v>78</v>
      </c>
      <c r="K19" s="438">
        <v>3</v>
      </c>
      <c r="L19" s="438">
        <v>0</v>
      </c>
      <c r="M19" s="438">
        <v>0</v>
      </c>
      <c r="N19" s="438">
        <v>18</v>
      </c>
      <c r="O19" s="438">
        <v>10</v>
      </c>
      <c r="P19" s="439">
        <v>19</v>
      </c>
    </row>
    <row r="20" spans="1:16" ht="15.8" customHeight="1" thickBot="1" x14ac:dyDescent="0.3">
      <c r="A20" s="436">
        <v>3</v>
      </c>
      <c r="B20" s="118" t="s">
        <v>46</v>
      </c>
      <c r="C20" s="441" t="s">
        <v>35</v>
      </c>
      <c r="D20" s="438">
        <v>4</v>
      </c>
      <c r="E20" s="439">
        <v>2</v>
      </c>
      <c r="F20" s="438">
        <v>0</v>
      </c>
      <c r="G20" s="438">
        <v>2</v>
      </c>
      <c r="H20" s="438">
        <v>114</v>
      </c>
      <c r="I20" s="438">
        <v>102</v>
      </c>
      <c r="J20" s="439">
        <v>12</v>
      </c>
      <c r="K20" s="438">
        <v>2</v>
      </c>
      <c r="L20" s="438">
        <v>0</v>
      </c>
      <c r="M20" s="438">
        <v>0</v>
      </c>
      <c r="N20" s="438">
        <v>18</v>
      </c>
      <c r="O20" s="438">
        <v>14</v>
      </c>
      <c r="P20" s="439">
        <v>10</v>
      </c>
    </row>
    <row r="21" spans="1:16" ht="15.8" customHeight="1" thickBot="1" x14ac:dyDescent="0.3">
      <c r="A21" s="436">
        <v>4</v>
      </c>
      <c r="B21" s="118" t="s">
        <v>328</v>
      </c>
      <c r="C21" s="442" t="s">
        <v>32</v>
      </c>
      <c r="D21" s="438">
        <v>4</v>
      </c>
      <c r="E21" s="439">
        <v>1</v>
      </c>
      <c r="F21" s="438">
        <v>0</v>
      </c>
      <c r="G21" s="438">
        <v>3</v>
      </c>
      <c r="H21" s="438">
        <v>63</v>
      </c>
      <c r="I21" s="438">
        <v>143</v>
      </c>
      <c r="J21" s="439">
        <v>-80</v>
      </c>
      <c r="K21" s="438">
        <v>1</v>
      </c>
      <c r="L21" s="438">
        <v>0</v>
      </c>
      <c r="M21" s="438">
        <v>0</v>
      </c>
      <c r="N21" s="438">
        <v>11</v>
      </c>
      <c r="O21" s="438">
        <v>22</v>
      </c>
      <c r="P21" s="439">
        <v>5</v>
      </c>
    </row>
    <row r="22" spans="1:16" ht="15.8" customHeight="1" thickBot="1" x14ac:dyDescent="0.3">
      <c r="A22" s="436">
        <v>5</v>
      </c>
      <c r="B22" s="118" t="s">
        <v>329</v>
      </c>
      <c r="C22" s="440" t="s">
        <v>34</v>
      </c>
      <c r="D22" s="438">
        <v>4</v>
      </c>
      <c r="E22" s="439">
        <v>1</v>
      </c>
      <c r="F22" s="438">
        <v>0</v>
      </c>
      <c r="G22" s="438">
        <v>3</v>
      </c>
      <c r="H22" s="438">
        <v>63</v>
      </c>
      <c r="I22" s="438">
        <v>143</v>
      </c>
      <c r="J22" s="439">
        <v>-80</v>
      </c>
      <c r="K22" s="438">
        <v>0</v>
      </c>
      <c r="L22" s="438">
        <v>0</v>
      </c>
      <c r="M22" s="438">
        <v>0</v>
      </c>
      <c r="N22" s="438">
        <v>9</v>
      </c>
      <c r="O22" s="438">
        <v>21</v>
      </c>
      <c r="P22" s="439">
        <v>4</v>
      </c>
    </row>
    <row r="23" spans="1:16" ht="15.8" customHeight="1" thickBot="1" x14ac:dyDescent="0.3">
      <c r="A23" s="436">
        <v>6</v>
      </c>
      <c r="B23" s="118" t="s">
        <v>329</v>
      </c>
      <c r="C23" s="443" t="s">
        <v>31</v>
      </c>
      <c r="D23" s="438">
        <v>4</v>
      </c>
      <c r="E23" s="439">
        <v>0</v>
      </c>
      <c r="F23" s="438">
        <v>0</v>
      </c>
      <c r="G23" s="438">
        <v>4</v>
      </c>
      <c r="H23" s="438">
        <v>59</v>
      </c>
      <c r="I23" s="438">
        <v>173</v>
      </c>
      <c r="J23" s="439">
        <v>-114</v>
      </c>
      <c r="K23" s="438">
        <v>0</v>
      </c>
      <c r="L23" s="438">
        <v>1</v>
      </c>
      <c r="M23" s="438">
        <v>0</v>
      </c>
      <c r="N23" s="438">
        <v>9</v>
      </c>
      <c r="O23" s="438">
        <v>26</v>
      </c>
      <c r="P23" s="439">
        <v>1</v>
      </c>
    </row>
    <row r="24" spans="1:16" ht="15.8" customHeight="1" x14ac:dyDescent="0.25"/>
    <row r="25" spans="1:16" ht="15.8" customHeight="1" x14ac:dyDescent="0.25">
      <c r="A25" s="73" t="s">
        <v>292</v>
      </c>
    </row>
    <row r="26" spans="1:16" ht="15.8" customHeight="1" thickBot="1" x14ac:dyDescent="0.3"/>
    <row r="27" spans="1:16" ht="15.8" customHeight="1" thickBot="1" x14ac:dyDescent="0.3">
      <c r="A27" s="398" t="s">
        <v>42</v>
      </c>
      <c r="B27" s="399" t="s">
        <v>43</v>
      </c>
      <c r="C27" s="399"/>
      <c r="D27" s="399" t="s">
        <v>0</v>
      </c>
      <c r="E27" s="400" t="s">
        <v>1</v>
      </c>
      <c r="F27" s="399" t="s">
        <v>2</v>
      </c>
      <c r="G27" s="399" t="s">
        <v>3</v>
      </c>
      <c r="H27" s="399" t="s">
        <v>4</v>
      </c>
      <c r="I27" s="399" t="s">
        <v>5</v>
      </c>
      <c r="J27" s="400" t="s">
        <v>44</v>
      </c>
      <c r="K27" s="399" t="s">
        <v>21</v>
      </c>
      <c r="L27" s="399" t="s">
        <v>22</v>
      </c>
      <c r="M27" s="399" t="s">
        <v>59</v>
      </c>
      <c r="N27" s="399" t="s">
        <v>47</v>
      </c>
      <c r="O27" s="399" t="s">
        <v>48</v>
      </c>
      <c r="P27" s="400" t="s">
        <v>45</v>
      </c>
    </row>
    <row r="28" spans="1:16" ht="15.8" customHeight="1" thickBot="1" x14ac:dyDescent="0.3">
      <c r="A28" s="401">
        <v>1</v>
      </c>
      <c r="B28" s="153" t="s">
        <v>46</v>
      </c>
      <c r="C28" s="402" t="s">
        <v>30</v>
      </c>
      <c r="D28" s="403">
        <v>4</v>
      </c>
      <c r="E28" s="404">
        <v>4</v>
      </c>
      <c r="F28" s="403">
        <v>0</v>
      </c>
      <c r="G28" s="403">
        <v>0</v>
      </c>
      <c r="H28" s="403">
        <v>213</v>
      </c>
      <c r="I28" s="403">
        <v>29</v>
      </c>
      <c r="J28" s="404">
        <v>184</v>
      </c>
      <c r="K28" s="403">
        <v>4</v>
      </c>
      <c r="L28" s="403">
        <v>0</v>
      </c>
      <c r="M28" s="403">
        <v>0</v>
      </c>
      <c r="N28" s="403">
        <v>33</v>
      </c>
      <c r="O28" s="403">
        <v>5</v>
      </c>
      <c r="P28" s="404">
        <v>20</v>
      </c>
    </row>
    <row r="29" spans="1:16" ht="15.8" customHeight="1" thickBot="1" x14ac:dyDescent="0.3">
      <c r="A29" s="401">
        <v>2</v>
      </c>
      <c r="B29" s="153" t="s">
        <v>46</v>
      </c>
      <c r="C29" s="405" t="s">
        <v>33</v>
      </c>
      <c r="D29" s="403">
        <v>4</v>
      </c>
      <c r="E29" s="404">
        <v>4</v>
      </c>
      <c r="F29" s="403">
        <v>0</v>
      </c>
      <c r="G29" s="403">
        <v>0</v>
      </c>
      <c r="H29" s="403">
        <v>141</v>
      </c>
      <c r="I29" s="403">
        <v>63</v>
      </c>
      <c r="J29" s="404">
        <v>78</v>
      </c>
      <c r="K29" s="403">
        <v>3</v>
      </c>
      <c r="L29" s="403">
        <v>0</v>
      </c>
      <c r="M29" s="403">
        <v>0</v>
      </c>
      <c r="N29" s="403">
        <v>18</v>
      </c>
      <c r="O29" s="403">
        <v>10</v>
      </c>
      <c r="P29" s="404">
        <v>19</v>
      </c>
    </row>
    <row r="30" spans="1:16" ht="15.8" customHeight="1" thickBot="1" x14ac:dyDescent="0.3">
      <c r="A30" s="401">
        <v>3</v>
      </c>
      <c r="B30" s="153" t="s">
        <v>46</v>
      </c>
      <c r="C30" s="407" t="s">
        <v>35</v>
      </c>
      <c r="D30" s="403">
        <v>4</v>
      </c>
      <c r="E30" s="404">
        <v>2</v>
      </c>
      <c r="F30" s="403">
        <v>0</v>
      </c>
      <c r="G30" s="403">
        <v>2</v>
      </c>
      <c r="H30" s="403">
        <v>114</v>
      </c>
      <c r="I30" s="403">
        <v>102</v>
      </c>
      <c r="J30" s="404">
        <v>12</v>
      </c>
      <c r="K30" s="403">
        <v>2</v>
      </c>
      <c r="L30" s="403">
        <v>0</v>
      </c>
      <c r="M30" s="403">
        <v>0</v>
      </c>
      <c r="N30" s="403">
        <v>18</v>
      </c>
      <c r="O30" s="403">
        <v>14</v>
      </c>
      <c r="P30" s="404">
        <v>10</v>
      </c>
    </row>
    <row r="31" spans="1:16" ht="15.8" customHeight="1" thickBot="1" x14ac:dyDescent="0.3">
      <c r="A31" s="401">
        <v>4</v>
      </c>
      <c r="B31" s="153" t="s">
        <v>279</v>
      </c>
      <c r="C31" s="408" t="s">
        <v>32</v>
      </c>
      <c r="D31" s="403">
        <v>4</v>
      </c>
      <c r="E31" s="404">
        <v>1</v>
      </c>
      <c r="F31" s="403">
        <v>0</v>
      </c>
      <c r="G31" s="403">
        <v>3</v>
      </c>
      <c r="H31" s="403">
        <v>63</v>
      </c>
      <c r="I31" s="403">
        <v>143</v>
      </c>
      <c r="J31" s="404">
        <v>-80</v>
      </c>
      <c r="K31" s="403">
        <v>1</v>
      </c>
      <c r="L31" s="403">
        <v>0</v>
      </c>
      <c r="M31" s="403">
        <v>0</v>
      </c>
      <c r="N31" s="403">
        <v>11</v>
      </c>
      <c r="O31" s="403">
        <v>22</v>
      </c>
      <c r="P31" s="404">
        <v>5</v>
      </c>
    </row>
    <row r="32" spans="1:16" ht="15.8" customHeight="1" thickBot="1" x14ac:dyDescent="0.3">
      <c r="A32" s="401">
        <v>5</v>
      </c>
      <c r="B32" s="153" t="s">
        <v>280</v>
      </c>
      <c r="C32" s="405" t="s">
        <v>34</v>
      </c>
      <c r="D32" s="403">
        <v>4</v>
      </c>
      <c r="E32" s="404">
        <v>1</v>
      </c>
      <c r="F32" s="403">
        <v>0</v>
      </c>
      <c r="G32" s="403">
        <v>3</v>
      </c>
      <c r="H32" s="403">
        <v>63</v>
      </c>
      <c r="I32" s="403">
        <v>143</v>
      </c>
      <c r="J32" s="404">
        <v>-80</v>
      </c>
      <c r="K32" s="403">
        <v>0</v>
      </c>
      <c r="L32" s="403">
        <v>0</v>
      </c>
      <c r="M32" s="403">
        <v>0</v>
      </c>
      <c r="N32" s="403">
        <v>9</v>
      </c>
      <c r="O32" s="403">
        <v>21</v>
      </c>
      <c r="P32" s="404">
        <v>4</v>
      </c>
    </row>
    <row r="33" spans="1:16" ht="15.8" customHeight="1" thickBot="1" x14ac:dyDescent="0.3">
      <c r="A33" s="401">
        <v>6</v>
      </c>
      <c r="B33" s="153" t="s">
        <v>280</v>
      </c>
      <c r="C33" s="406" t="s">
        <v>31</v>
      </c>
      <c r="D33" s="403">
        <v>4</v>
      </c>
      <c r="E33" s="404">
        <v>0</v>
      </c>
      <c r="F33" s="403">
        <v>0</v>
      </c>
      <c r="G33" s="403">
        <v>4</v>
      </c>
      <c r="H33" s="403">
        <v>59</v>
      </c>
      <c r="I33" s="403">
        <v>173</v>
      </c>
      <c r="J33" s="404">
        <v>-114</v>
      </c>
      <c r="K33" s="403">
        <v>0</v>
      </c>
      <c r="L33" s="403">
        <v>1</v>
      </c>
      <c r="M33" s="403">
        <v>0</v>
      </c>
      <c r="N33" s="403">
        <v>9</v>
      </c>
      <c r="O33" s="403">
        <v>26</v>
      </c>
      <c r="P33" s="404">
        <v>1</v>
      </c>
    </row>
    <row r="34" spans="1:16" ht="15.8" customHeight="1" x14ac:dyDescent="0.25"/>
    <row r="35" spans="1:16" ht="15.8" customHeight="1" x14ac:dyDescent="0.25">
      <c r="A35" s="73" t="s">
        <v>292</v>
      </c>
    </row>
    <row r="36" spans="1:16" ht="15.8" customHeight="1" thickBot="1" x14ac:dyDescent="0.3"/>
    <row r="37" spans="1:16" ht="15.8" customHeight="1" thickBot="1" x14ac:dyDescent="0.3">
      <c r="A37" s="398" t="s">
        <v>42</v>
      </c>
      <c r="B37" s="399" t="s">
        <v>43</v>
      </c>
      <c r="C37" s="399"/>
      <c r="D37" s="399" t="s">
        <v>0</v>
      </c>
      <c r="E37" s="400" t="s">
        <v>1</v>
      </c>
      <c r="F37" s="399" t="s">
        <v>2</v>
      </c>
      <c r="G37" s="399" t="s">
        <v>3</v>
      </c>
      <c r="H37" s="399" t="s">
        <v>4</v>
      </c>
      <c r="I37" s="399" t="s">
        <v>5</v>
      </c>
      <c r="J37" s="400" t="s">
        <v>44</v>
      </c>
      <c r="K37" s="399" t="s">
        <v>21</v>
      </c>
      <c r="L37" s="399" t="s">
        <v>22</v>
      </c>
      <c r="M37" s="399" t="s">
        <v>59</v>
      </c>
      <c r="N37" s="399" t="s">
        <v>47</v>
      </c>
      <c r="O37" s="399" t="s">
        <v>48</v>
      </c>
      <c r="P37" s="400" t="s">
        <v>45</v>
      </c>
    </row>
    <row r="38" spans="1:16" ht="15.8" customHeight="1" thickBot="1" x14ac:dyDescent="0.3">
      <c r="A38" s="401">
        <v>1</v>
      </c>
      <c r="B38" s="153" t="s">
        <v>46</v>
      </c>
      <c r="C38" s="402" t="s">
        <v>30</v>
      </c>
      <c r="D38" s="403">
        <v>3</v>
      </c>
      <c r="E38" s="404">
        <v>3</v>
      </c>
      <c r="F38" s="403">
        <v>0</v>
      </c>
      <c r="G38" s="403">
        <v>0</v>
      </c>
      <c r="H38" s="403">
        <v>154</v>
      </c>
      <c r="I38" s="403">
        <v>22</v>
      </c>
      <c r="J38" s="404">
        <v>132</v>
      </c>
      <c r="K38" s="403">
        <v>3</v>
      </c>
      <c r="L38" s="403">
        <v>0</v>
      </c>
      <c r="M38" s="403">
        <v>0</v>
      </c>
      <c r="N38" s="403">
        <v>24</v>
      </c>
      <c r="O38" s="403">
        <v>4</v>
      </c>
      <c r="P38" s="404">
        <v>15</v>
      </c>
    </row>
    <row r="39" spans="1:16" ht="15.8" customHeight="1" thickBot="1" x14ac:dyDescent="0.3">
      <c r="A39" s="401">
        <v>2</v>
      </c>
      <c r="B39" s="153" t="s">
        <v>46</v>
      </c>
      <c r="C39" s="405" t="s">
        <v>33</v>
      </c>
      <c r="D39" s="403">
        <v>3</v>
      </c>
      <c r="E39" s="404">
        <v>3</v>
      </c>
      <c r="F39" s="403">
        <v>0</v>
      </c>
      <c r="G39" s="403">
        <v>0</v>
      </c>
      <c r="H39" s="403">
        <v>107</v>
      </c>
      <c r="I39" s="403">
        <v>42</v>
      </c>
      <c r="J39" s="404">
        <v>65</v>
      </c>
      <c r="K39" s="403">
        <v>2</v>
      </c>
      <c r="L39" s="403">
        <v>0</v>
      </c>
      <c r="M39" s="403">
        <v>0</v>
      </c>
      <c r="N39" s="403">
        <v>13</v>
      </c>
      <c r="O39" s="403">
        <v>7</v>
      </c>
      <c r="P39" s="404">
        <v>14</v>
      </c>
    </row>
    <row r="40" spans="1:16" ht="15.8" customHeight="1" thickBot="1" x14ac:dyDescent="0.3">
      <c r="A40" s="401">
        <v>3</v>
      </c>
      <c r="B40" s="153" t="s">
        <v>46</v>
      </c>
      <c r="C40" s="407" t="s">
        <v>35</v>
      </c>
      <c r="D40" s="403">
        <v>3</v>
      </c>
      <c r="E40" s="404">
        <v>1</v>
      </c>
      <c r="F40" s="403">
        <v>0</v>
      </c>
      <c r="G40" s="403">
        <v>2</v>
      </c>
      <c r="H40" s="403">
        <v>74</v>
      </c>
      <c r="I40" s="403">
        <v>88</v>
      </c>
      <c r="J40" s="404">
        <v>-14</v>
      </c>
      <c r="K40" s="403">
        <v>1</v>
      </c>
      <c r="L40" s="403">
        <v>0</v>
      </c>
      <c r="M40" s="403">
        <v>0</v>
      </c>
      <c r="N40" s="403">
        <v>12</v>
      </c>
      <c r="O40" s="403">
        <v>12</v>
      </c>
      <c r="P40" s="404">
        <v>5</v>
      </c>
    </row>
    <row r="41" spans="1:16" ht="15.8" customHeight="1" thickBot="1" x14ac:dyDescent="0.3">
      <c r="A41" s="401">
        <v>4</v>
      </c>
      <c r="B41" s="153" t="s">
        <v>279</v>
      </c>
      <c r="C41" s="408" t="s">
        <v>32</v>
      </c>
      <c r="D41" s="403">
        <v>3</v>
      </c>
      <c r="E41" s="404">
        <v>1</v>
      </c>
      <c r="F41" s="403">
        <v>0</v>
      </c>
      <c r="G41" s="403">
        <v>2</v>
      </c>
      <c r="H41" s="403">
        <v>42</v>
      </c>
      <c r="I41" s="403">
        <v>109</v>
      </c>
      <c r="J41" s="404">
        <v>-67</v>
      </c>
      <c r="K41" s="403">
        <v>1</v>
      </c>
      <c r="L41" s="403">
        <v>0</v>
      </c>
      <c r="M41" s="403">
        <v>0</v>
      </c>
      <c r="N41" s="403">
        <v>8</v>
      </c>
      <c r="O41" s="403">
        <v>17</v>
      </c>
      <c r="P41" s="404">
        <v>5</v>
      </c>
    </row>
    <row r="42" spans="1:16" ht="15.8" customHeight="1" thickBot="1" x14ac:dyDescent="0.3">
      <c r="A42" s="401">
        <v>5</v>
      </c>
      <c r="B42" s="153" t="s">
        <v>280</v>
      </c>
      <c r="C42" s="405" t="s">
        <v>34</v>
      </c>
      <c r="D42" s="403">
        <v>3</v>
      </c>
      <c r="E42" s="404">
        <v>1</v>
      </c>
      <c r="F42" s="403">
        <v>0</v>
      </c>
      <c r="G42" s="403">
        <v>2</v>
      </c>
      <c r="H42" s="403">
        <v>56</v>
      </c>
      <c r="I42" s="403">
        <v>84</v>
      </c>
      <c r="J42" s="404">
        <v>-28</v>
      </c>
      <c r="K42" s="403">
        <v>0</v>
      </c>
      <c r="L42" s="403">
        <v>0</v>
      </c>
      <c r="M42" s="403">
        <v>0</v>
      </c>
      <c r="N42" s="403">
        <v>8</v>
      </c>
      <c r="O42" s="403">
        <v>12</v>
      </c>
      <c r="P42" s="404">
        <v>4</v>
      </c>
    </row>
    <row r="43" spans="1:16" ht="15.8" customHeight="1" thickBot="1" x14ac:dyDescent="0.3">
      <c r="A43" s="401">
        <v>6</v>
      </c>
      <c r="B43" s="153" t="s">
        <v>280</v>
      </c>
      <c r="C43" s="406" t="s">
        <v>31</v>
      </c>
      <c r="D43" s="403">
        <v>3</v>
      </c>
      <c r="E43" s="404">
        <v>0</v>
      </c>
      <c r="F43" s="403">
        <v>0</v>
      </c>
      <c r="G43" s="403">
        <v>3</v>
      </c>
      <c r="H43" s="403">
        <v>45</v>
      </c>
      <c r="I43" s="403">
        <v>133</v>
      </c>
      <c r="J43" s="404">
        <v>-88</v>
      </c>
      <c r="K43" s="403">
        <v>0</v>
      </c>
      <c r="L43" s="403">
        <v>1</v>
      </c>
      <c r="M43" s="403">
        <v>0</v>
      </c>
      <c r="N43" s="403">
        <v>7</v>
      </c>
      <c r="O43" s="403">
        <v>20</v>
      </c>
      <c r="P43" s="404">
        <v>1</v>
      </c>
    </row>
    <row r="44" spans="1:16" ht="15.8" customHeight="1" x14ac:dyDescent="0.25"/>
    <row r="45" spans="1:16" x14ac:dyDescent="0.25">
      <c r="A45" s="73" t="s">
        <v>281</v>
      </c>
    </row>
    <row r="46" spans="1:16" ht="14.95" thickBot="1" x14ac:dyDescent="0.3"/>
    <row r="47" spans="1:16" ht="14.95" thickBot="1" x14ac:dyDescent="0.3">
      <c r="A47" s="398" t="s">
        <v>42</v>
      </c>
      <c r="B47" s="399" t="s">
        <v>43</v>
      </c>
      <c r="C47" s="399"/>
      <c r="D47" s="399" t="s">
        <v>0</v>
      </c>
      <c r="E47" s="400" t="s">
        <v>1</v>
      </c>
      <c r="F47" s="399" t="s">
        <v>2</v>
      </c>
      <c r="G47" s="399" t="s">
        <v>3</v>
      </c>
      <c r="H47" s="399" t="s">
        <v>4</v>
      </c>
      <c r="I47" s="399" t="s">
        <v>5</v>
      </c>
      <c r="J47" s="400" t="s">
        <v>44</v>
      </c>
      <c r="K47" s="399" t="s">
        <v>21</v>
      </c>
      <c r="L47" s="399" t="s">
        <v>22</v>
      </c>
      <c r="M47" s="399" t="s">
        <v>59</v>
      </c>
      <c r="N47" s="399" t="s">
        <v>47</v>
      </c>
      <c r="O47" s="399" t="s">
        <v>48</v>
      </c>
      <c r="P47" s="400" t="s">
        <v>45</v>
      </c>
    </row>
    <row r="48" spans="1:16" ht="14.95" thickBot="1" x14ac:dyDescent="0.3">
      <c r="A48" s="401">
        <v>1</v>
      </c>
      <c r="B48" s="153" t="s">
        <v>46</v>
      </c>
      <c r="C48" s="402" t="s">
        <v>30</v>
      </c>
      <c r="D48" s="403">
        <v>2</v>
      </c>
      <c r="E48" s="404">
        <v>2</v>
      </c>
      <c r="F48" s="403">
        <v>0</v>
      </c>
      <c r="G48" s="403">
        <v>0</v>
      </c>
      <c r="H48" s="403">
        <v>105</v>
      </c>
      <c r="I48" s="403">
        <v>17</v>
      </c>
      <c r="J48" s="404">
        <v>88</v>
      </c>
      <c r="K48" s="403">
        <v>2</v>
      </c>
      <c r="L48" s="403">
        <v>0</v>
      </c>
      <c r="M48" s="403">
        <v>0</v>
      </c>
      <c r="N48" s="403">
        <v>17</v>
      </c>
      <c r="O48" s="403">
        <v>3</v>
      </c>
      <c r="P48" s="404">
        <v>10</v>
      </c>
    </row>
    <row r="49" spans="1:16" ht="14.95" thickBot="1" x14ac:dyDescent="0.3">
      <c r="A49" s="401">
        <v>2</v>
      </c>
      <c r="B49" s="153" t="s">
        <v>46</v>
      </c>
      <c r="C49" s="405" t="s">
        <v>33</v>
      </c>
      <c r="D49" s="403">
        <v>2</v>
      </c>
      <c r="E49" s="404">
        <v>2</v>
      </c>
      <c r="F49" s="403">
        <v>0</v>
      </c>
      <c r="G49" s="403">
        <v>0</v>
      </c>
      <c r="H49" s="403">
        <v>65</v>
      </c>
      <c r="I49" s="403">
        <v>30</v>
      </c>
      <c r="J49" s="404">
        <v>35</v>
      </c>
      <c r="K49" s="403">
        <v>1</v>
      </c>
      <c r="L49" s="403">
        <v>0</v>
      </c>
      <c r="M49" s="403">
        <v>0</v>
      </c>
      <c r="N49" s="403">
        <v>7</v>
      </c>
      <c r="O49" s="403">
        <v>5</v>
      </c>
      <c r="P49" s="404">
        <v>9</v>
      </c>
    </row>
    <row r="50" spans="1:16" ht="14.95" thickBot="1" x14ac:dyDescent="0.3">
      <c r="A50" s="401">
        <v>3</v>
      </c>
      <c r="B50" s="153" t="s">
        <v>279</v>
      </c>
      <c r="C50" s="407" t="s">
        <v>35</v>
      </c>
      <c r="D50" s="403">
        <v>2</v>
      </c>
      <c r="E50" s="404">
        <v>1</v>
      </c>
      <c r="F50" s="403">
        <v>0</v>
      </c>
      <c r="G50" s="403">
        <v>1</v>
      </c>
      <c r="H50" s="403">
        <v>69</v>
      </c>
      <c r="I50" s="403">
        <v>39</v>
      </c>
      <c r="J50" s="404">
        <v>30</v>
      </c>
      <c r="K50" s="403">
        <v>1</v>
      </c>
      <c r="L50" s="403">
        <v>0</v>
      </c>
      <c r="M50" s="403">
        <v>0</v>
      </c>
      <c r="N50" s="403">
        <v>11</v>
      </c>
      <c r="O50" s="403">
        <v>5</v>
      </c>
      <c r="P50" s="404">
        <v>5</v>
      </c>
    </row>
    <row r="51" spans="1:16" ht="14.95" thickBot="1" x14ac:dyDescent="0.3">
      <c r="A51" s="401">
        <v>4</v>
      </c>
      <c r="B51" s="153" t="s">
        <v>280</v>
      </c>
      <c r="C51" s="405" t="s">
        <v>34</v>
      </c>
      <c r="D51" s="403">
        <v>2</v>
      </c>
      <c r="E51" s="404">
        <v>1</v>
      </c>
      <c r="F51" s="403">
        <v>0</v>
      </c>
      <c r="G51" s="403">
        <v>1</v>
      </c>
      <c r="H51" s="403">
        <v>39</v>
      </c>
      <c r="I51" s="403">
        <v>59</v>
      </c>
      <c r="J51" s="404">
        <v>-20</v>
      </c>
      <c r="K51" s="403">
        <v>0</v>
      </c>
      <c r="L51" s="403">
        <v>0</v>
      </c>
      <c r="M51" s="403">
        <v>0</v>
      </c>
      <c r="N51" s="403">
        <v>5</v>
      </c>
      <c r="O51" s="403">
        <v>7</v>
      </c>
      <c r="P51" s="404">
        <v>4</v>
      </c>
    </row>
    <row r="52" spans="1:16" ht="14.95" thickBot="1" x14ac:dyDescent="0.3">
      <c r="A52" s="401">
        <v>5</v>
      </c>
      <c r="B52" s="153" t="s">
        <v>280</v>
      </c>
      <c r="C52" s="406" t="s">
        <v>31</v>
      </c>
      <c r="D52" s="403">
        <v>2</v>
      </c>
      <c r="E52" s="404">
        <v>0</v>
      </c>
      <c r="F52" s="403">
        <v>0</v>
      </c>
      <c r="G52" s="403">
        <v>2</v>
      </c>
      <c r="H52" s="403">
        <v>33</v>
      </c>
      <c r="I52" s="403">
        <v>91</v>
      </c>
      <c r="J52" s="404">
        <v>-58</v>
      </c>
      <c r="K52" s="403">
        <v>0</v>
      </c>
      <c r="L52" s="403">
        <v>1</v>
      </c>
      <c r="M52" s="403">
        <v>0</v>
      </c>
      <c r="N52" s="403">
        <v>5</v>
      </c>
      <c r="O52" s="403">
        <v>14</v>
      </c>
      <c r="P52" s="404">
        <v>1</v>
      </c>
    </row>
    <row r="53" spans="1:16" ht="14.95" thickBot="1" x14ac:dyDescent="0.3">
      <c r="A53" s="401">
        <v>6</v>
      </c>
      <c r="B53" s="153" t="s">
        <v>46</v>
      </c>
      <c r="C53" s="408" t="s">
        <v>32</v>
      </c>
      <c r="D53" s="403">
        <v>2</v>
      </c>
      <c r="E53" s="404">
        <v>0</v>
      </c>
      <c r="F53" s="403">
        <v>0</v>
      </c>
      <c r="G53" s="403">
        <v>2</v>
      </c>
      <c r="H53" s="403">
        <v>17</v>
      </c>
      <c r="I53" s="403">
        <v>92</v>
      </c>
      <c r="J53" s="404">
        <v>-75</v>
      </c>
      <c r="K53" s="403">
        <v>0</v>
      </c>
      <c r="L53" s="403">
        <v>0</v>
      </c>
      <c r="M53" s="403">
        <v>0</v>
      </c>
      <c r="N53" s="403">
        <v>3</v>
      </c>
      <c r="O53" s="403">
        <v>14</v>
      </c>
      <c r="P53" s="404">
        <v>0</v>
      </c>
    </row>
    <row r="55" spans="1:16" x14ac:dyDescent="0.25">
      <c r="A55" s="73" t="s">
        <v>102</v>
      </c>
    </row>
    <row r="56" spans="1:16" ht="14.95" thickBot="1" x14ac:dyDescent="0.3"/>
    <row r="57" spans="1:16" ht="14.95" thickBot="1" x14ac:dyDescent="0.3">
      <c r="A57" s="398" t="s">
        <v>42</v>
      </c>
      <c r="B57" s="399" t="s">
        <v>43</v>
      </c>
      <c r="C57" s="399"/>
      <c r="D57" s="399" t="s">
        <v>0</v>
      </c>
      <c r="E57" s="400" t="s">
        <v>1</v>
      </c>
      <c r="F57" s="399" t="s">
        <v>2</v>
      </c>
      <c r="G57" s="399" t="s">
        <v>3</v>
      </c>
      <c r="H57" s="399" t="s">
        <v>4</v>
      </c>
      <c r="I57" s="399" t="s">
        <v>5</v>
      </c>
      <c r="J57" s="400" t="s">
        <v>44</v>
      </c>
      <c r="K57" s="399" t="s">
        <v>21</v>
      </c>
      <c r="L57" s="399" t="s">
        <v>22</v>
      </c>
      <c r="M57" s="399" t="s">
        <v>59</v>
      </c>
      <c r="N57" s="399" t="s">
        <v>47</v>
      </c>
      <c r="O57" s="399" t="s">
        <v>48</v>
      </c>
      <c r="P57" s="400" t="s">
        <v>45</v>
      </c>
    </row>
    <row r="58" spans="1:16" ht="14.95" thickBot="1" x14ac:dyDescent="0.3">
      <c r="A58" s="401">
        <v>1</v>
      </c>
      <c r="B58" s="153" t="s">
        <v>46</v>
      </c>
      <c r="C58" s="402" t="s">
        <v>30</v>
      </c>
      <c r="D58" s="403">
        <v>1</v>
      </c>
      <c r="E58" s="404">
        <v>1</v>
      </c>
      <c r="F58" s="403">
        <v>0</v>
      </c>
      <c r="G58" s="403">
        <v>0</v>
      </c>
      <c r="H58" s="403">
        <v>38</v>
      </c>
      <c r="I58" s="403">
        <v>5</v>
      </c>
      <c r="J58" s="404">
        <v>33</v>
      </c>
      <c r="K58" s="403">
        <v>1</v>
      </c>
      <c r="L58" s="403">
        <v>0</v>
      </c>
      <c r="M58" s="403">
        <v>0</v>
      </c>
      <c r="N58" s="403">
        <v>6</v>
      </c>
      <c r="O58" s="403">
        <v>1</v>
      </c>
      <c r="P58" s="404">
        <v>5</v>
      </c>
    </row>
    <row r="59" spans="1:16" ht="14.95" thickBot="1" x14ac:dyDescent="0.3">
      <c r="A59" s="401">
        <v>2</v>
      </c>
      <c r="B59" s="153" t="s">
        <v>46</v>
      </c>
      <c r="C59" s="405" t="s">
        <v>33</v>
      </c>
      <c r="D59" s="403">
        <v>1</v>
      </c>
      <c r="E59" s="404">
        <v>1</v>
      </c>
      <c r="F59" s="403">
        <v>0</v>
      </c>
      <c r="G59" s="403">
        <v>0</v>
      </c>
      <c r="H59" s="403">
        <v>27</v>
      </c>
      <c r="I59" s="403">
        <v>15</v>
      </c>
      <c r="J59" s="404">
        <v>12</v>
      </c>
      <c r="K59" s="403">
        <v>0</v>
      </c>
      <c r="L59" s="403">
        <v>0</v>
      </c>
      <c r="M59" s="403">
        <v>0</v>
      </c>
      <c r="N59" s="403">
        <v>3</v>
      </c>
      <c r="O59" s="403">
        <v>3</v>
      </c>
      <c r="P59" s="404">
        <v>4</v>
      </c>
    </row>
    <row r="60" spans="1:16" ht="14.95" thickBot="1" x14ac:dyDescent="0.3">
      <c r="A60" s="401">
        <v>3</v>
      </c>
      <c r="B60" s="153" t="s">
        <v>46</v>
      </c>
      <c r="C60" s="405" t="s">
        <v>34</v>
      </c>
      <c r="D60" s="403">
        <v>1</v>
      </c>
      <c r="E60" s="404">
        <v>1</v>
      </c>
      <c r="F60" s="403">
        <v>0</v>
      </c>
      <c r="G60" s="403">
        <v>0</v>
      </c>
      <c r="H60" s="403">
        <v>24</v>
      </c>
      <c r="I60" s="403">
        <v>21</v>
      </c>
      <c r="J60" s="404">
        <v>3</v>
      </c>
      <c r="K60" s="403">
        <v>0</v>
      </c>
      <c r="L60" s="403">
        <v>0</v>
      </c>
      <c r="M60" s="403">
        <v>0</v>
      </c>
      <c r="N60" s="403">
        <v>3</v>
      </c>
      <c r="O60" s="403">
        <v>3</v>
      </c>
      <c r="P60" s="404">
        <v>4</v>
      </c>
    </row>
    <row r="61" spans="1:16" ht="14.95" thickBot="1" x14ac:dyDescent="0.3">
      <c r="A61" s="401">
        <v>4</v>
      </c>
      <c r="B61" s="153" t="s">
        <v>46</v>
      </c>
      <c r="C61" s="406" t="s">
        <v>31</v>
      </c>
      <c r="D61" s="403">
        <v>1</v>
      </c>
      <c r="E61" s="404">
        <v>0</v>
      </c>
      <c r="F61" s="403">
        <v>0</v>
      </c>
      <c r="G61" s="403">
        <v>1</v>
      </c>
      <c r="H61" s="403">
        <v>21</v>
      </c>
      <c r="I61" s="403">
        <v>24</v>
      </c>
      <c r="J61" s="404">
        <v>-3</v>
      </c>
      <c r="K61" s="403">
        <v>0</v>
      </c>
      <c r="L61" s="403">
        <v>1</v>
      </c>
      <c r="M61" s="403">
        <v>0</v>
      </c>
      <c r="N61" s="403">
        <v>3</v>
      </c>
      <c r="O61" s="403">
        <v>3</v>
      </c>
      <c r="P61" s="404">
        <v>1</v>
      </c>
    </row>
    <row r="62" spans="1:16" ht="14.95" thickBot="1" x14ac:dyDescent="0.3">
      <c r="A62" s="401">
        <v>5</v>
      </c>
      <c r="B62" s="153" t="s">
        <v>46</v>
      </c>
      <c r="C62" s="407" t="s">
        <v>35</v>
      </c>
      <c r="D62" s="403">
        <v>1</v>
      </c>
      <c r="E62" s="404">
        <v>0</v>
      </c>
      <c r="F62" s="403">
        <v>0</v>
      </c>
      <c r="G62" s="403">
        <v>1</v>
      </c>
      <c r="H62" s="403">
        <v>15</v>
      </c>
      <c r="I62" s="403">
        <v>27</v>
      </c>
      <c r="J62" s="404">
        <v>-12</v>
      </c>
      <c r="K62" s="403">
        <v>0</v>
      </c>
      <c r="L62" s="403">
        <v>0</v>
      </c>
      <c r="M62" s="403">
        <v>0</v>
      </c>
      <c r="N62" s="403">
        <v>3</v>
      </c>
      <c r="O62" s="403">
        <v>3</v>
      </c>
      <c r="P62" s="404">
        <v>0</v>
      </c>
    </row>
    <row r="63" spans="1:16" ht="14.95" thickBot="1" x14ac:dyDescent="0.3">
      <c r="A63" s="401">
        <v>6</v>
      </c>
      <c r="B63" s="153" t="s">
        <v>46</v>
      </c>
      <c r="C63" s="408" t="s">
        <v>32</v>
      </c>
      <c r="D63" s="403">
        <v>1</v>
      </c>
      <c r="E63" s="404">
        <v>0</v>
      </c>
      <c r="F63" s="403">
        <v>0</v>
      </c>
      <c r="G63" s="403">
        <v>1</v>
      </c>
      <c r="H63" s="403">
        <v>5</v>
      </c>
      <c r="I63" s="403">
        <v>38</v>
      </c>
      <c r="J63" s="404">
        <v>-33</v>
      </c>
      <c r="K63" s="403">
        <v>0</v>
      </c>
      <c r="L63" s="403">
        <v>0</v>
      </c>
      <c r="M63" s="403">
        <v>0</v>
      </c>
      <c r="N63" s="403">
        <v>1</v>
      </c>
      <c r="O63" s="403">
        <v>6</v>
      </c>
      <c r="P63" s="404">
        <v>0</v>
      </c>
    </row>
    <row r="65" spans="1:1" ht="16.3" x14ac:dyDescent="0.3">
      <c r="A65" s="681" t="s">
        <v>28</v>
      </c>
    </row>
  </sheetData>
  <sortState xmlns:xlrd2="http://schemas.microsoft.com/office/spreadsheetml/2017/richdata2" ref="A2:P7">
    <sortCondition descending="1" ref="P2:P7"/>
    <sortCondition descending="1" ref="J2:J7"/>
    <sortCondition ref="C2:C7"/>
  </sortState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E7C5A-F628-40BC-9697-E8083126C3E9}">
  <dimension ref="A1:AV25"/>
  <sheetViews>
    <sheetView workbookViewId="0">
      <selection activeCell="A25" sqref="A25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125" customWidth="1"/>
    <col min="5" max="18" width="3.75" customWidth="1"/>
    <col min="19" max="20" width="6.25" customWidth="1"/>
    <col min="21" max="21" width="20.25" bestFit="1" customWidth="1"/>
    <col min="22" max="22" width="17.375" bestFit="1" customWidth="1"/>
    <col min="23" max="23" width="21.875" bestFit="1" customWidth="1"/>
    <col min="24" max="24" width="23.625" bestFit="1" customWidth="1"/>
    <col min="25" max="25" width="24.375" bestFit="1" customWidth="1"/>
    <col min="26" max="41" width="3.75" customWidth="1"/>
    <col min="47" max="47" width="9.875" bestFit="1" customWidth="1"/>
  </cols>
  <sheetData>
    <row r="1" spans="1:48" ht="14.95" customHeight="1" thickBot="1" x14ac:dyDescent="0.3">
      <c r="A1" s="825" t="s">
        <v>333</v>
      </c>
      <c r="B1" s="826"/>
      <c r="C1" s="826"/>
      <c r="D1" s="230"/>
      <c r="E1" s="827" t="s">
        <v>24</v>
      </c>
      <c r="F1" s="828"/>
      <c r="G1" s="829"/>
      <c r="H1" s="827" t="s">
        <v>74</v>
      </c>
      <c r="I1" s="829"/>
      <c r="J1" s="830" t="s">
        <v>6</v>
      </c>
      <c r="K1" s="831"/>
      <c r="L1" s="831"/>
      <c r="M1" s="832"/>
      <c r="N1" s="830" t="s">
        <v>7</v>
      </c>
      <c r="O1" s="832"/>
      <c r="P1" s="830" t="s">
        <v>25</v>
      </c>
      <c r="Q1" s="831"/>
      <c r="R1" s="832"/>
      <c r="S1" s="622" t="s">
        <v>8</v>
      </c>
      <c r="T1" s="231" t="s">
        <v>9</v>
      </c>
      <c r="U1" s="232" t="s">
        <v>10</v>
      </c>
      <c r="V1" s="232" t="s">
        <v>11</v>
      </c>
      <c r="W1" s="232" t="s">
        <v>109</v>
      </c>
      <c r="X1" s="232" t="s">
        <v>26</v>
      </c>
      <c r="Y1" s="232" t="s">
        <v>27</v>
      </c>
      <c r="Z1" s="822" t="s">
        <v>20</v>
      </c>
      <c r="AA1" s="823"/>
      <c r="AB1" s="823"/>
      <c r="AC1" s="824"/>
      <c r="AD1" s="822" t="s">
        <v>56</v>
      </c>
      <c r="AE1" s="823"/>
      <c r="AF1" s="823"/>
      <c r="AG1" s="824"/>
      <c r="AH1" s="822" t="s">
        <v>57</v>
      </c>
      <c r="AI1" s="823"/>
      <c r="AJ1" s="823"/>
      <c r="AK1" s="824"/>
      <c r="AL1" s="822" t="s">
        <v>58</v>
      </c>
      <c r="AM1" s="823"/>
      <c r="AN1" s="823"/>
      <c r="AO1" s="824"/>
    </row>
    <row r="2" spans="1:48" ht="14.95" customHeight="1" thickBot="1" x14ac:dyDescent="0.3">
      <c r="A2" s="233" t="s">
        <v>19</v>
      </c>
      <c r="B2" s="234" t="s">
        <v>18</v>
      </c>
      <c r="C2" s="235" t="s">
        <v>17</v>
      </c>
      <c r="D2" s="235" t="s">
        <v>37</v>
      </c>
      <c r="E2" s="236" t="s">
        <v>16</v>
      </c>
      <c r="F2" s="236" t="s">
        <v>4</v>
      </c>
      <c r="G2" s="236" t="s">
        <v>5</v>
      </c>
      <c r="H2" s="237" t="s">
        <v>12</v>
      </c>
      <c r="I2" s="237" t="s">
        <v>3</v>
      </c>
      <c r="J2" s="237" t="s">
        <v>12</v>
      </c>
      <c r="K2" s="237" t="s">
        <v>13</v>
      </c>
      <c r="L2" s="237" t="s">
        <v>2</v>
      </c>
      <c r="M2" s="237" t="s">
        <v>14</v>
      </c>
      <c r="N2" s="237" t="s">
        <v>15</v>
      </c>
      <c r="O2" s="237" t="s">
        <v>16</v>
      </c>
      <c r="P2" s="237" t="s">
        <v>21</v>
      </c>
      <c r="Q2" s="237" t="s">
        <v>22</v>
      </c>
      <c r="R2" s="237" t="s">
        <v>12</v>
      </c>
      <c r="S2" s="660"/>
      <c r="T2" s="239"/>
      <c r="U2" s="240"/>
      <c r="V2" s="238"/>
      <c r="W2" s="238"/>
      <c r="X2" s="232"/>
      <c r="Y2" s="241"/>
      <c r="Z2" s="242" t="s">
        <v>0</v>
      </c>
      <c r="AA2" s="242" t="s">
        <v>1</v>
      </c>
      <c r="AB2" s="242" t="s">
        <v>2</v>
      </c>
      <c r="AC2" s="242" t="s">
        <v>3</v>
      </c>
      <c r="AD2" s="242" t="s">
        <v>0</v>
      </c>
      <c r="AE2" s="242" t="s">
        <v>1</v>
      </c>
      <c r="AF2" s="242" t="s">
        <v>2</v>
      </c>
      <c r="AG2" s="242" t="s">
        <v>3</v>
      </c>
      <c r="AH2" s="242" t="s">
        <v>0</v>
      </c>
      <c r="AI2" s="242" t="s">
        <v>1</v>
      </c>
      <c r="AJ2" s="242" t="s">
        <v>2</v>
      </c>
      <c r="AK2" s="242" t="s">
        <v>3</v>
      </c>
      <c r="AL2" s="242" t="s">
        <v>0</v>
      </c>
      <c r="AM2" s="242" t="s">
        <v>1</v>
      </c>
      <c r="AN2" s="242" t="s">
        <v>2</v>
      </c>
      <c r="AO2" s="242" t="s">
        <v>3</v>
      </c>
      <c r="AU2" s="73" t="s">
        <v>684</v>
      </c>
    </row>
    <row r="3" spans="1:48" ht="14.95" customHeight="1" thickBot="1" x14ac:dyDescent="0.3">
      <c r="A3" s="155" t="s">
        <v>301</v>
      </c>
      <c r="B3" s="157" t="s">
        <v>161</v>
      </c>
      <c r="C3" s="157" t="s">
        <v>55</v>
      </c>
      <c r="D3" s="157" t="s">
        <v>331</v>
      </c>
      <c r="E3" s="158" t="s">
        <v>1</v>
      </c>
      <c r="F3" s="158">
        <v>39</v>
      </c>
      <c r="G3" s="158">
        <v>33</v>
      </c>
      <c r="H3" s="375" t="s">
        <v>69</v>
      </c>
      <c r="I3" s="375" t="s">
        <v>69</v>
      </c>
      <c r="J3" s="375">
        <v>6</v>
      </c>
      <c r="K3" s="375">
        <v>3</v>
      </c>
      <c r="L3" s="375">
        <v>0</v>
      </c>
      <c r="M3" s="375">
        <v>1</v>
      </c>
      <c r="N3" s="375">
        <v>0</v>
      </c>
      <c r="O3" s="375">
        <v>0</v>
      </c>
      <c r="P3" s="375" t="s">
        <v>69</v>
      </c>
      <c r="Q3" s="375" t="s">
        <v>69</v>
      </c>
      <c r="R3" s="375">
        <v>5</v>
      </c>
      <c r="S3" s="625"/>
      <c r="T3" s="169" t="s">
        <v>334</v>
      </c>
      <c r="U3" s="164" t="s">
        <v>119</v>
      </c>
      <c r="V3" s="162" t="s">
        <v>100</v>
      </c>
      <c r="W3" s="162" t="s">
        <v>100</v>
      </c>
      <c r="X3" s="159" t="s">
        <v>184</v>
      </c>
      <c r="Y3" s="165" t="s">
        <v>182</v>
      </c>
      <c r="Z3" s="159">
        <v>1</v>
      </c>
      <c r="AA3" s="159">
        <v>1</v>
      </c>
      <c r="AB3" s="159">
        <v>0</v>
      </c>
      <c r="AC3" s="523">
        <v>0</v>
      </c>
      <c r="AD3" s="159">
        <v>0</v>
      </c>
      <c r="AE3" s="159">
        <v>0</v>
      </c>
      <c r="AF3" s="159">
        <v>0</v>
      </c>
      <c r="AG3" s="523">
        <v>0</v>
      </c>
      <c r="AH3" s="159">
        <v>1</v>
      </c>
      <c r="AI3" s="159">
        <v>1</v>
      </c>
      <c r="AJ3" s="159">
        <v>0</v>
      </c>
      <c r="AK3" s="523">
        <v>0</v>
      </c>
      <c r="AL3" s="159">
        <v>0</v>
      </c>
      <c r="AM3" s="159">
        <v>0</v>
      </c>
      <c r="AN3" s="159">
        <v>0</v>
      </c>
      <c r="AO3" s="523">
        <v>0</v>
      </c>
      <c r="AU3" s="515" t="s">
        <v>503</v>
      </c>
      <c r="AV3" s="516">
        <v>23</v>
      </c>
    </row>
    <row r="4" spans="1:48" ht="14.95" customHeight="1" thickBot="1" x14ac:dyDescent="0.35">
      <c r="A4" s="170" t="s">
        <v>370</v>
      </c>
      <c r="B4" s="171" t="s">
        <v>169</v>
      </c>
      <c r="C4" s="171" t="s">
        <v>167</v>
      </c>
      <c r="D4" s="171" t="s">
        <v>371</v>
      </c>
      <c r="E4" s="172" t="s">
        <v>1</v>
      </c>
      <c r="F4" s="172">
        <v>90</v>
      </c>
      <c r="G4" s="172">
        <v>0</v>
      </c>
      <c r="H4" s="374">
        <v>1</v>
      </c>
      <c r="I4" s="374">
        <v>0</v>
      </c>
      <c r="J4" s="374">
        <v>14</v>
      </c>
      <c r="K4" s="374">
        <v>10</v>
      </c>
      <c r="L4" s="374">
        <v>0</v>
      </c>
      <c r="M4" s="374">
        <v>0</v>
      </c>
      <c r="N4" s="374">
        <v>0</v>
      </c>
      <c r="O4" s="374">
        <v>0</v>
      </c>
      <c r="P4" s="374">
        <v>0</v>
      </c>
      <c r="Q4" s="374">
        <v>0</v>
      </c>
      <c r="R4" s="374">
        <v>0</v>
      </c>
      <c r="S4" s="639"/>
      <c r="T4" s="181" t="s">
        <v>170</v>
      </c>
      <c r="U4" s="176" t="s">
        <v>175</v>
      </c>
      <c r="V4" s="173" t="s">
        <v>375</v>
      </c>
      <c r="W4" s="173" t="s">
        <v>100</v>
      </c>
      <c r="X4" s="176" t="s">
        <v>373</v>
      </c>
      <c r="Y4" s="177" t="s">
        <v>374</v>
      </c>
      <c r="Z4" s="176">
        <v>1</v>
      </c>
      <c r="AA4" s="176">
        <v>1</v>
      </c>
      <c r="AB4" s="176">
        <v>0</v>
      </c>
      <c r="AC4" s="342">
        <v>0</v>
      </c>
      <c r="AD4" s="176">
        <v>1</v>
      </c>
      <c r="AE4" s="176">
        <v>1</v>
      </c>
      <c r="AF4" s="176">
        <v>0</v>
      </c>
      <c r="AG4" s="342">
        <v>0</v>
      </c>
      <c r="AH4" s="176">
        <v>0</v>
      </c>
      <c r="AI4" s="176">
        <v>0</v>
      </c>
      <c r="AJ4" s="176">
        <v>0</v>
      </c>
      <c r="AK4" s="342">
        <v>0</v>
      </c>
      <c r="AL4" s="176">
        <v>0</v>
      </c>
      <c r="AM4" s="176">
        <v>0</v>
      </c>
      <c r="AN4" s="176">
        <v>0</v>
      </c>
      <c r="AO4" s="342">
        <v>0</v>
      </c>
      <c r="AU4" s="517" t="s">
        <v>504</v>
      </c>
      <c r="AV4" s="518">
        <v>4</v>
      </c>
    </row>
    <row r="5" spans="1:48" ht="14.95" customHeight="1" thickBot="1" x14ac:dyDescent="0.35">
      <c r="A5" s="170" t="s">
        <v>409</v>
      </c>
      <c r="B5" s="171" t="s">
        <v>169</v>
      </c>
      <c r="C5" s="171" t="s">
        <v>188</v>
      </c>
      <c r="D5" s="171" t="s">
        <v>371</v>
      </c>
      <c r="E5" s="172" t="s">
        <v>1</v>
      </c>
      <c r="F5" s="172">
        <v>63</v>
      </c>
      <c r="G5" s="172">
        <v>5</v>
      </c>
      <c r="H5" s="374">
        <v>1</v>
      </c>
      <c r="I5" s="374">
        <v>0</v>
      </c>
      <c r="J5" s="374">
        <v>11</v>
      </c>
      <c r="K5" s="374">
        <v>4</v>
      </c>
      <c r="L5" s="374">
        <v>0</v>
      </c>
      <c r="M5" s="374">
        <v>0</v>
      </c>
      <c r="N5" s="374">
        <v>0</v>
      </c>
      <c r="O5" s="374">
        <v>0</v>
      </c>
      <c r="P5" s="374">
        <v>0</v>
      </c>
      <c r="Q5" s="374">
        <v>0</v>
      </c>
      <c r="R5" s="374">
        <v>1</v>
      </c>
      <c r="S5" s="639"/>
      <c r="T5" s="181" t="s">
        <v>410</v>
      </c>
      <c r="U5" s="175" t="s">
        <v>411</v>
      </c>
      <c r="V5" s="173" t="s">
        <v>412</v>
      </c>
      <c r="W5" s="173" t="s">
        <v>100</v>
      </c>
      <c r="X5" s="176" t="s">
        <v>413</v>
      </c>
      <c r="Y5" s="177" t="s">
        <v>414</v>
      </c>
      <c r="Z5" s="176">
        <v>1</v>
      </c>
      <c r="AA5" s="176">
        <v>1</v>
      </c>
      <c r="AB5" s="176">
        <v>0</v>
      </c>
      <c r="AC5" s="342">
        <v>0</v>
      </c>
      <c r="AD5" s="176">
        <v>1</v>
      </c>
      <c r="AE5" s="176">
        <v>1</v>
      </c>
      <c r="AF5" s="176">
        <v>0</v>
      </c>
      <c r="AG5" s="342">
        <v>0</v>
      </c>
      <c r="AH5" s="176">
        <v>0</v>
      </c>
      <c r="AI5" s="176">
        <v>0</v>
      </c>
      <c r="AJ5" s="176">
        <v>0</v>
      </c>
      <c r="AK5" s="342">
        <v>0</v>
      </c>
      <c r="AL5" s="176">
        <v>0</v>
      </c>
      <c r="AM5" s="176">
        <v>0</v>
      </c>
      <c r="AN5" s="176">
        <v>0</v>
      </c>
      <c r="AO5" s="342">
        <v>0</v>
      </c>
      <c r="AU5" s="517" t="s">
        <v>505</v>
      </c>
      <c r="AV5" s="518">
        <v>0</v>
      </c>
    </row>
    <row r="6" spans="1:48" ht="14.95" customHeight="1" thickBot="1" x14ac:dyDescent="0.35">
      <c r="A6" s="170" t="s">
        <v>509</v>
      </c>
      <c r="B6" s="171" t="s">
        <v>161</v>
      </c>
      <c r="C6" s="171" t="s">
        <v>133</v>
      </c>
      <c r="D6" s="171" t="s">
        <v>510</v>
      </c>
      <c r="E6" s="172" t="s">
        <v>1</v>
      </c>
      <c r="F6" s="172">
        <v>32</v>
      </c>
      <c r="G6" s="172">
        <v>19</v>
      </c>
      <c r="H6" s="374" t="s">
        <v>69</v>
      </c>
      <c r="I6" s="374" t="s">
        <v>69</v>
      </c>
      <c r="J6" s="374">
        <v>5</v>
      </c>
      <c r="K6" s="374">
        <v>2</v>
      </c>
      <c r="L6" s="374">
        <v>0</v>
      </c>
      <c r="M6" s="374">
        <v>1</v>
      </c>
      <c r="N6" s="374">
        <v>0</v>
      </c>
      <c r="O6" s="374">
        <v>0</v>
      </c>
      <c r="P6" s="374" t="s">
        <v>69</v>
      </c>
      <c r="Q6" s="374" t="s">
        <v>69</v>
      </c>
      <c r="R6" s="374">
        <v>3</v>
      </c>
      <c r="S6" s="639"/>
      <c r="T6" s="181" t="s">
        <v>511</v>
      </c>
      <c r="U6" s="176" t="s">
        <v>272</v>
      </c>
      <c r="V6" s="173" t="s">
        <v>100</v>
      </c>
      <c r="W6" s="173" t="s">
        <v>100</v>
      </c>
      <c r="X6" s="176" t="s">
        <v>128</v>
      </c>
      <c r="Y6" s="177" t="s">
        <v>512</v>
      </c>
      <c r="Z6" s="176">
        <v>1</v>
      </c>
      <c r="AA6" s="176">
        <v>1</v>
      </c>
      <c r="AB6" s="176">
        <v>0</v>
      </c>
      <c r="AC6" s="342">
        <v>0</v>
      </c>
      <c r="AD6" s="176">
        <v>1</v>
      </c>
      <c r="AE6" s="176">
        <v>1</v>
      </c>
      <c r="AF6" s="176">
        <v>0</v>
      </c>
      <c r="AG6" s="342">
        <v>0</v>
      </c>
      <c r="AH6" s="176">
        <v>0</v>
      </c>
      <c r="AI6" s="176">
        <v>0</v>
      </c>
      <c r="AJ6" s="176">
        <v>0</v>
      </c>
      <c r="AK6" s="342">
        <v>0</v>
      </c>
      <c r="AL6" s="176">
        <v>0</v>
      </c>
      <c r="AM6" s="176">
        <v>0</v>
      </c>
      <c r="AN6" s="176">
        <v>0</v>
      </c>
      <c r="AO6" s="342">
        <v>0</v>
      </c>
      <c r="AU6" s="517" t="s">
        <v>506</v>
      </c>
      <c r="AV6" s="518">
        <v>19</v>
      </c>
    </row>
    <row r="7" spans="1:48" ht="14.95" customHeight="1" thickBot="1" x14ac:dyDescent="0.35">
      <c r="A7" s="170" t="s">
        <v>526</v>
      </c>
      <c r="B7" s="171" t="s">
        <v>161</v>
      </c>
      <c r="C7" s="171" t="s">
        <v>133</v>
      </c>
      <c r="D7" s="171" t="s">
        <v>531</v>
      </c>
      <c r="E7" s="172" t="s">
        <v>1</v>
      </c>
      <c r="F7" s="172">
        <v>30</v>
      </c>
      <c r="G7" s="172">
        <v>19</v>
      </c>
      <c r="H7" s="374" t="s">
        <v>69</v>
      </c>
      <c r="I7" s="374" t="s">
        <v>69</v>
      </c>
      <c r="J7" s="374">
        <v>5</v>
      </c>
      <c r="K7" s="374">
        <v>1</v>
      </c>
      <c r="L7" s="374">
        <v>0</v>
      </c>
      <c r="M7" s="374">
        <v>1</v>
      </c>
      <c r="N7" s="374">
        <v>0</v>
      </c>
      <c r="O7" s="374">
        <v>0</v>
      </c>
      <c r="P7" s="374" t="s">
        <v>69</v>
      </c>
      <c r="Q7" s="374" t="s">
        <v>69</v>
      </c>
      <c r="R7" s="374">
        <v>3</v>
      </c>
      <c r="S7" s="639"/>
      <c r="T7" s="181" t="s">
        <v>533</v>
      </c>
      <c r="U7" s="175" t="s">
        <v>272</v>
      </c>
      <c r="V7" s="173" t="s">
        <v>100</v>
      </c>
      <c r="W7" s="173" t="s">
        <v>100</v>
      </c>
      <c r="X7" s="176" t="s">
        <v>128</v>
      </c>
      <c r="Y7" s="177" t="s">
        <v>512</v>
      </c>
      <c r="Z7" s="176">
        <v>1</v>
      </c>
      <c r="AA7" s="176">
        <v>1</v>
      </c>
      <c r="AB7" s="176">
        <v>0</v>
      </c>
      <c r="AC7" s="342">
        <v>0</v>
      </c>
      <c r="AD7" s="176">
        <v>1</v>
      </c>
      <c r="AE7" s="176">
        <v>1</v>
      </c>
      <c r="AF7" s="176">
        <v>0</v>
      </c>
      <c r="AG7" s="342">
        <v>0</v>
      </c>
      <c r="AH7" s="176">
        <v>0</v>
      </c>
      <c r="AI7" s="176">
        <v>0</v>
      </c>
      <c r="AJ7" s="176">
        <v>0</v>
      </c>
      <c r="AK7" s="342">
        <v>0</v>
      </c>
      <c r="AL7" s="176">
        <v>0</v>
      </c>
      <c r="AM7" s="176">
        <v>0</v>
      </c>
      <c r="AN7" s="176">
        <v>0</v>
      </c>
      <c r="AO7" s="342">
        <v>0</v>
      </c>
      <c r="AU7" s="517" t="s">
        <v>507</v>
      </c>
      <c r="AV7" s="518">
        <v>235</v>
      </c>
    </row>
    <row r="8" spans="1:48" ht="14.95" customHeight="1" thickBot="1" x14ac:dyDescent="0.3">
      <c r="A8" s="155" t="s">
        <v>562</v>
      </c>
      <c r="B8" s="157" t="s">
        <v>161</v>
      </c>
      <c r="C8" s="157" t="s">
        <v>32</v>
      </c>
      <c r="D8" s="157" t="s">
        <v>578</v>
      </c>
      <c r="E8" s="158" t="s">
        <v>3</v>
      </c>
      <c r="F8" s="158">
        <v>15</v>
      </c>
      <c r="G8" s="158">
        <v>33</v>
      </c>
      <c r="H8" s="375" t="s">
        <v>69</v>
      </c>
      <c r="I8" s="375" t="s">
        <v>69</v>
      </c>
      <c r="J8" s="375">
        <v>3</v>
      </c>
      <c r="K8" s="375">
        <v>0</v>
      </c>
      <c r="L8" s="375">
        <v>0</v>
      </c>
      <c r="M8" s="375">
        <v>0</v>
      </c>
      <c r="N8" s="375">
        <v>0</v>
      </c>
      <c r="O8" s="375">
        <v>0</v>
      </c>
      <c r="P8" s="375" t="s">
        <v>69</v>
      </c>
      <c r="Q8" s="375" t="s">
        <v>69</v>
      </c>
      <c r="R8" s="375">
        <v>5</v>
      </c>
      <c r="S8" s="625"/>
      <c r="T8" s="166" t="s">
        <v>582</v>
      </c>
      <c r="U8" s="164" t="s">
        <v>116</v>
      </c>
      <c r="V8" s="162" t="s">
        <v>100</v>
      </c>
      <c r="W8" s="165" t="s">
        <v>100</v>
      </c>
      <c r="X8" s="165" t="s">
        <v>117</v>
      </c>
      <c r="Y8" s="159" t="s">
        <v>132</v>
      </c>
      <c r="Z8" s="159">
        <v>1</v>
      </c>
      <c r="AA8" s="159">
        <v>0</v>
      </c>
      <c r="AB8" s="159">
        <v>0</v>
      </c>
      <c r="AC8" s="523">
        <v>1</v>
      </c>
      <c r="AD8" s="159">
        <v>0</v>
      </c>
      <c r="AE8" s="159">
        <v>0</v>
      </c>
      <c r="AF8" s="159">
        <v>0</v>
      </c>
      <c r="AG8" s="523">
        <v>0</v>
      </c>
      <c r="AH8" s="159">
        <v>1</v>
      </c>
      <c r="AI8" s="159">
        <v>0</v>
      </c>
      <c r="AJ8" s="159">
        <v>0</v>
      </c>
      <c r="AK8" s="523">
        <v>1</v>
      </c>
      <c r="AL8" s="159">
        <v>0</v>
      </c>
      <c r="AM8" s="159">
        <v>0</v>
      </c>
      <c r="AN8" s="159">
        <v>0</v>
      </c>
      <c r="AO8" s="523">
        <v>0</v>
      </c>
    </row>
    <row r="9" spans="1:48" ht="14.95" customHeight="1" thickBot="1" x14ac:dyDescent="0.3">
      <c r="A9" s="187" t="s">
        <v>245</v>
      </c>
      <c r="B9" s="188" t="s">
        <v>231</v>
      </c>
      <c r="C9" s="188" t="s">
        <v>35</v>
      </c>
      <c r="D9" s="188" t="s">
        <v>235</v>
      </c>
      <c r="E9" s="184" t="s">
        <v>3</v>
      </c>
      <c r="F9" s="184">
        <v>14</v>
      </c>
      <c r="G9" s="184">
        <v>42</v>
      </c>
      <c r="H9" s="373">
        <v>0</v>
      </c>
      <c r="I9" s="373">
        <v>0</v>
      </c>
      <c r="J9" s="373">
        <v>2</v>
      </c>
      <c r="K9" s="373">
        <v>2</v>
      </c>
      <c r="L9" s="373">
        <v>0</v>
      </c>
      <c r="M9" s="373">
        <v>0</v>
      </c>
      <c r="N9" s="373">
        <v>0</v>
      </c>
      <c r="O9" s="373">
        <v>0</v>
      </c>
      <c r="P9" s="373">
        <v>1</v>
      </c>
      <c r="Q9" s="373">
        <v>0</v>
      </c>
      <c r="R9" s="373">
        <v>6</v>
      </c>
      <c r="S9" s="186">
        <v>13053</v>
      </c>
      <c r="T9" s="198" t="s">
        <v>660</v>
      </c>
      <c r="U9" s="190" t="s">
        <v>114</v>
      </c>
      <c r="V9" s="189" t="s">
        <v>136</v>
      </c>
      <c r="W9" s="189" t="s">
        <v>139</v>
      </c>
      <c r="X9" s="191" t="s">
        <v>683</v>
      </c>
      <c r="Y9" s="186" t="s">
        <v>154</v>
      </c>
      <c r="Z9" s="186">
        <v>1</v>
      </c>
      <c r="AA9" s="186">
        <v>0</v>
      </c>
      <c r="AB9" s="341">
        <v>0</v>
      </c>
      <c r="AC9" s="186">
        <v>1</v>
      </c>
      <c r="AD9" s="186">
        <v>0</v>
      </c>
      <c r="AE9" s="186">
        <v>0</v>
      </c>
      <c r="AF9" s="186">
        <v>0</v>
      </c>
      <c r="AG9" s="341">
        <v>0</v>
      </c>
      <c r="AH9" s="186">
        <v>0</v>
      </c>
      <c r="AI9" s="186">
        <v>0</v>
      </c>
      <c r="AJ9" s="186">
        <v>0</v>
      </c>
      <c r="AK9" s="341">
        <v>0</v>
      </c>
      <c r="AL9" s="186">
        <v>1</v>
      </c>
      <c r="AM9" s="186">
        <v>0</v>
      </c>
      <c r="AN9" s="186">
        <v>0</v>
      </c>
      <c r="AO9" s="341">
        <v>1</v>
      </c>
    </row>
    <row r="10" spans="1:48" ht="14.95" customHeight="1" thickBot="1" x14ac:dyDescent="0.3">
      <c r="A10" s="187" t="s">
        <v>242</v>
      </c>
      <c r="B10" s="188" t="s">
        <v>231</v>
      </c>
      <c r="C10" s="188" t="s">
        <v>72</v>
      </c>
      <c r="D10" s="188" t="s">
        <v>241</v>
      </c>
      <c r="E10" s="184" t="s">
        <v>3</v>
      </c>
      <c r="F10" s="184">
        <v>19</v>
      </c>
      <c r="G10" s="184">
        <v>62</v>
      </c>
      <c r="H10" s="373">
        <v>0</v>
      </c>
      <c r="I10" s="373">
        <v>0</v>
      </c>
      <c r="J10" s="373">
        <v>3</v>
      </c>
      <c r="K10" s="373">
        <v>1</v>
      </c>
      <c r="L10" s="373">
        <v>0</v>
      </c>
      <c r="M10" s="373">
        <v>0</v>
      </c>
      <c r="N10" s="373">
        <v>1</v>
      </c>
      <c r="O10" s="373">
        <v>0</v>
      </c>
      <c r="P10" s="373">
        <v>1</v>
      </c>
      <c r="Q10" s="373">
        <v>0</v>
      </c>
      <c r="R10" s="373">
        <v>10</v>
      </c>
      <c r="S10" s="391">
        <v>13902</v>
      </c>
      <c r="T10" s="198" t="s">
        <v>741</v>
      </c>
      <c r="U10" s="190" t="s">
        <v>119</v>
      </c>
      <c r="V10" s="189" t="s">
        <v>115</v>
      </c>
      <c r="W10" s="189" t="s">
        <v>111</v>
      </c>
      <c r="X10" s="191" t="s">
        <v>146</v>
      </c>
      <c r="Y10" s="186" t="s">
        <v>163</v>
      </c>
      <c r="Z10" s="186">
        <v>1</v>
      </c>
      <c r="AA10" s="186">
        <v>0</v>
      </c>
      <c r="AB10" s="341">
        <v>0</v>
      </c>
      <c r="AC10" s="341">
        <v>1</v>
      </c>
      <c r="AD10" s="186">
        <v>0</v>
      </c>
      <c r="AE10" s="186">
        <v>0</v>
      </c>
      <c r="AF10" s="186">
        <v>0</v>
      </c>
      <c r="AG10" s="341">
        <v>0</v>
      </c>
      <c r="AH10" s="186">
        <v>0</v>
      </c>
      <c r="AI10" s="186">
        <v>0</v>
      </c>
      <c r="AJ10" s="186">
        <v>0</v>
      </c>
      <c r="AK10" s="341">
        <v>0</v>
      </c>
      <c r="AL10" s="186">
        <v>1</v>
      </c>
      <c r="AM10" s="186">
        <v>0</v>
      </c>
      <c r="AN10" s="186">
        <v>0</v>
      </c>
      <c r="AO10" s="341">
        <v>1</v>
      </c>
    </row>
    <row r="11" spans="1:48" ht="14.95" customHeight="1" thickBot="1" x14ac:dyDescent="0.3">
      <c r="A11" s="187" t="s">
        <v>174</v>
      </c>
      <c r="B11" s="188" t="s">
        <v>231</v>
      </c>
      <c r="C11" s="188" t="s">
        <v>133</v>
      </c>
      <c r="D11" s="188" t="s">
        <v>206</v>
      </c>
      <c r="E11" s="184" t="s">
        <v>1</v>
      </c>
      <c r="F11" s="184">
        <v>29</v>
      </c>
      <c r="G11" s="184">
        <v>21</v>
      </c>
      <c r="H11" s="373">
        <v>1</v>
      </c>
      <c r="I11" s="373">
        <v>0</v>
      </c>
      <c r="J11" s="373">
        <v>5</v>
      </c>
      <c r="K11" s="373">
        <v>2</v>
      </c>
      <c r="L11" s="373">
        <v>0</v>
      </c>
      <c r="M11" s="373">
        <v>0</v>
      </c>
      <c r="N11" s="373">
        <v>0</v>
      </c>
      <c r="O11" s="373">
        <v>0</v>
      </c>
      <c r="P11" s="373">
        <v>0</v>
      </c>
      <c r="Q11" s="373">
        <v>0</v>
      </c>
      <c r="R11" s="373">
        <v>1</v>
      </c>
      <c r="S11" s="391"/>
      <c r="T11" s="651" t="s">
        <v>719</v>
      </c>
      <c r="U11" s="186" t="s">
        <v>116</v>
      </c>
      <c r="V11" s="186" t="s">
        <v>110</v>
      </c>
      <c r="W11" s="186" t="s">
        <v>136</v>
      </c>
      <c r="X11" s="186" t="s">
        <v>117</v>
      </c>
      <c r="Y11" s="191" t="s">
        <v>132</v>
      </c>
      <c r="Z11" s="186">
        <v>1</v>
      </c>
      <c r="AA11" s="186">
        <v>1</v>
      </c>
      <c r="AB11" s="186">
        <v>0</v>
      </c>
      <c r="AC11" s="341">
        <v>0</v>
      </c>
      <c r="AD11" s="186">
        <v>0</v>
      </c>
      <c r="AE11" s="186">
        <v>0</v>
      </c>
      <c r="AF11" s="186">
        <v>0</v>
      </c>
      <c r="AG11" s="341">
        <v>0</v>
      </c>
      <c r="AH11" s="186">
        <v>0</v>
      </c>
      <c r="AI11" s="186">
        <v>0</v>
      </c>
      <c r="AJ11" s="186">
        <v>0</v>
      </c>
      <c r="AK11" s="341">
        <v>0</v>
      </c>
      <c r="AL11" s="186">
        <v>1</v>
      </c>
      <c r="AM11" s="186">
        <v>1</v>
      </c>
      <c r="AN11" s="186">
        <v>0</v>
      </c>
      <c r="AO11" s="341">
        <v>0</v>
      </c>
    </row>
    <row r="12" spans="1:48" ht="14.95" customHeight="1" thickBot="1" x14ac:dyDescent="0.3">
      <c r="A12" s="349"/>
      <c r="B12" s="60"/>
      <c r="C12" s="833" t="s">
        <v>168</v>
      </c>
      <c r="D12" s="834"/>
      <c r="E12" s="835"/>
      <c r="F12" s="184">
        <f t="shared" ref="F12:R12" si="0">SUM(F4:F5)</f>
        <v>153</v>
      </c>
      <c r="G12" s="184">
        <f t="shared" si="0"/>
        <v>5</v>
      </c>
      <c r="H12" s="184">
        <f t="shared" si="0"/>
        <v>2</v>
      </c>
      <c r="I12" s="184">
        <f t="shared" si="0"/>
        <v>0</v>
      </c>
      <c r="J12" s="184">
        <f t="shared" si="0"/>
        <v>25</v>
      </c>
      <c r="K12" s="184">
        <f t="shared" si="0"/>
        <v>14</v>
      </c>
      <c r="L12" s="184">
        <f t="shared" si="0"/>
        <v>0</v>
      </c>
      <c r="M12" s="184">
        <f t="shared" si="0"/>
        <v>0</v>
      </c>
      <c r="N12" s="184">
        <f t="shared" si="0"/>
        <v>0</v>
      </c>
      <c r="O12" s="184">
        <f t="shared" si="0"/>
        <v>0</v>
      </c>
      <c r="P12" s="184">
        <f t="shared" si="0"/>
        <v>0</v>
      </c>
      <c r="Q12" s="184">
        <f t="shared" si="0"/>
        <v>0</v>
      </c>
      <c r="R12" s="184">
        <f t="shared" si="0"/>
        <v>1</v>
      </c>
      <c r="T12" s="661"/>
      <c r="U12" s="385"/>
      <c r="V12" s="385"/>
      <c r="W12" s="385"/>
      <c r="X12" s="386"/>
      <c r="Y12" s="352" t="s">
        <v>168</v>
      </c>
      <c r="Z12" s="350">
        <f t="shared" ref="Z12:AO12" si="1">SUM(Z4:Z5)</f>
        <v>2</v>
      </c>
      <c r="AA12" s="350">
        <f t="shared" si="1"/>
        <v>2</v>
      </c>
      <c r="AB12" s="350">
        <f t="shared" si="1"/>
        <v>0</v>
      </c>
      <c r="AC12" s="351">
        <f t="shared" si="1"/>
        <v>0</v>
      </c>
      <c r="AD12" s="353">
        <f t="shared" si="1"/>
        <v>2</v>
      </c>
      <c r="AE12" s="353">
        <f t="shared" si="1"/>
        <v>2</v>
      </c>
      <c r="AF12" s="353">
        <f t="shared" si="1"/>
        <v>0</v>
      </c>
      <c r="AG12" s="354">
        <f t="shared" si="1"/>
        <v>0</v>
      </c>
      <c r="AH12" s="355">
        <f t="shared" si="1"/>
        <v>0</v>
      </c>
      <c r="AI12" s="355">
        <f t="shared" si="1"/>
        <v>0</v>
      </c>
      <c r="AJ12" s="355">
        <f t="shared" si="1"/>
        <v>0</v>
      </c>
      <c r="AK12" s="356">
        <f t="shared" si="1"/>
        <v>0</v>
      </c>
      <c r="AL12" s="350">
        <f t="shared" si="1"/>
        <v>0</v>
      </c>
      <c r="AM12" s="350">
        <f t="shared" si="1"/>
        <v>0</v>
      </c>
      <c r="AN12" s="350">
        <f t="shared" si="1"/>
        <v>0</v>
      </c>
      <c r="AO12" s="351">
        <f t="shared" si="1"/>
        <v>0</v>
      </c>
    </row>
    <row r="13" spans="1:48" ht="14.95" thickBot="1" x14ac:dyDescent="0.3">
      <c r="A13" s="104"/>
      <c r="B13" s="105"/>
      <c r="C13" s="731" t="s">
        <v>237</v>
      </c>
      <c r="D13" s="732"/>
      <c r="E13" s="733"/>
      <c r="F13" s="467">
        <f>SUM(F9:F11)</f>
        <v>62</v>
      </c>
      <c r="G13" s="467">
        <f t="shared" ref="G13:R13" si="2">SUM(G9:G11)</f>
        <v>125</v>
      </c>
      <c r="H13" s="467">
        <f t="shared" si="2"/>
        <v>1</v>
      </c>
      <c r="I13" s="467">
        <f t="shared" si="2"/>
        <v>0</v>
      </c>
      <c r="J13" s="467">
        <f t="shared" si="2"/>
        <v>10</v>
      </c>
      <c r="K13" s="467">
        <f t="shared" si="2"/>
        <v>5</v>
      </c>
      <c r="L13" s="467">
        <f t="shared" si="2"/>
        <v>0</v>
      </c>
      <c r="M13" s="467">
        <f t="shared" si="2"/>
        <v>0</v>
      </c>
      <c r="N13" s="467">
        <f t="shared" si="2"/>
        <v>1</v>
      </c>
      <c r="O13" s="467">
        <f t="shared" si="2"/>
        <v>0</v>
      </c>
      <c r="P13" s="467">
        <f t="shared" si="2"/>
        <v>2</v>
      </c>
      <c r="Q13" s="467">
        <f t="shared" si="2"/>
        <v>0</v>
      </c>
      <c r="R13" s="467">
        <f t="shared" si="2"/>
        <v>17</v>
      </c>
      <c r="T13" s="458"/>
      <c r="U13" s="458"/>
      <c r="V13" s="458"/>
      <c r="W13" s="458"/>
      <c r="X13" s="468"/>
      <c r="Y13" s="460" t="s">
        <v>237</v>
      </c>
      <c r="Z13" s="467">
        <f t="shared" ref="Z13:AO13" si="3">SUM(Z9:Z11)</f>
        <v>3</v>
      </c>
      <c r="AA13" s="467">
        <f t="shared" si="3"/>
        <v>1</v>
      </c>
      <c r="AB13" s="467">
        <f t="shared" si="3"/>
        <v>0</v>
      </c>
      <c r="AC13" s="467">
        <f t="shared" si="3"/>
        <v>2</v>
      </c>
      <c r="AD13" s="469">
        <f t="shared" si="3"/>
        <v>0</v>
      </c>
      <c r="AE13" s="469">
        <f t="shared" si="3"/>
        <v>0</v>
      </c>
      <c r="AF13" s="469">
        <f t="shared" si="3"/>
        <v>0</v>
      </c>
      <c r="AG13" s="469">
        <f t="shared" si="3"/>
        <v>0</v>
      </c>
      <c r="AH13" s="470">
        <f t="shared" si="3"/>
        <v>0</v>
      </c>
      <c r="AI13" s="470">
        <f t="shared" si="3"/>
        <v>0</v>
      </c>
      <c r="AJ13" s="470">
        <f t="shared" si="3"/>
        <v>0</v>
      </c>
      <c r="AK13" s="470">
        <f t="shared" si="3"/>
        <v>0</v>
      </c>
      <c r="AL13" s="467">
        <f t="shared" si="3"/>
        <v>3</v>
      </c>
      <c r="AM13" s="467">
        <f t="shared" si="3"/>
        <v>1</v>
      </c>
      <c r="AN13" s="467">
        <f t="shared" si="3"/>
        <v>0</v>
      </c>
      <c r="AO13" s="467">
        <f t="shared" si="3"/>
        <v>2</v>
      </c>
    </row>
    <row r="14" spans="1:48" ht="14.95" thickBot="1" x14ac:dyDescent="0.3">
      <c r="A14" s="104"/>
      <c r="B14" s="105"/>
      <c r="C14" s="728" t="s">
        <v>70</v>
      </c>
      <c r="D14" s="729"/>
      <c r="E14" s="730"/>
      <c r="F14" s="128">
        <f t="shared" ref="F14:R14" si="4">SUM(F3:F11)</f>
        <v>331</v>
      </c>
      <c r="G14" s="128">
        <f t="shared" si="4"/>
        <v>234</v>
      </c>
      <c r="H14" s="128">
        <f t="shared" si="4"/>
        <v>3</v>
      </c>
      <c r="I14" s="128">
        <f t="shared" si="4"/>
        <v>0</v>
      </c>
      <c r="J14" s="128">
        <f t="shared" si="4"/>
        <v>54</v>
      </c>
      <c r="K14" s="128">
        <f t="shared" si="4"/>
        <v>25</v>
      </c>
      <c r="L14" s="128">
        <f t="shared" si="4"/>
        <v>0</v>
      </c>
      <c r="M14" s="128">
        <f t="shared" si="4"/>
        <v>3</v>
      </c>
      <c r="N14" s="128">
        <f t="shared" si="4"/>
        <v>1</v>
      </c>
      <c r="O14" s="128">
        <f t="shared" si="4"/>
        <v>0</v>
      </c>
      <c r="P14" s="128">
        <f t="shared" si="4"/>
        <v>2</v>
      </c>
      <c r="Q14" s="128">
        <f t="shared" si="4"/>
        <v>0</v>
      </c>
      <c r="R14" s="128">
        <f t="shared" si="4"/>
        <v>34</v>
      </c>
      <c r="T14" s="197"/>
      <c r="U14" s="197"/>
      <c r="V14" s="197"/>
      <c r="W14" s="197"/>
      <c r="X14" s="12"/>
      <c r="Y14" s="133" t="s">
        <v>70</v>
      </c>
      <c r="Z14" s="128">
        <f t="shared" ref="Z14:AO14" si="5">SUM(Z3:Z11)</f>
        <v>9</v>
      </c>
      <c r="AA14" s="128">
        <f t="shared" si="5"/>
        <v>6</v>
      </c>
      <c r="AB14" s="128">
        <f t="shared" si="5"/>
        <v>0</v>
      </c>
      <c r="AC14" s="128">
        <f t="shared" si="5"/>
        <v>3</v>
      </c>
      <c r="AD14" s="126">
        <f t="shared" si="5"/>
        <v>4</v>
      </c>
      <c r="AE14" s="126">
        <f t="shared" si="5"/>
        <v>4</v>
      </c>
      <c r="AF14" s="126">
        <f t="shared" si="5"/>
        <v>0</v>
      </c>
      <c r="AG14" s="126">
        <f t="shared" si="5"/>
        <v>0</v>
      </c>
      <c r="AH14" s="127">
        <f t="shared" si="5"/>
        <v>2</v>
      </c>
      <c r="AI14" s="127">
        <f t="shared" si="5"/>
        <v>1</v>
      </c>
      <c r="AJ14" s="127">
        <f t="shared" si="5"/>
        <v>0</v>
      </c>
      <c r="AK14" s="127">
        <f t="shared" si="5"/>
        <v>1</v>
      </c>
      <c r="AL14" s="128">
        <f t="shared" si="5"/>
        <v>3</v>
      </c>
      <c r="AM14" s="128">
        <f t="shared" si="5"/>
        <v>1</v>
      </c>
      <c r="AN14" s="128">
        <f t="shared" si="5"/>
        <v>0</v>
      </c>
      <c r="AO14" s="128">
        <f t="shared" si="5"/>
        <v>2</v>
      </c>
    </row>
    <row r="15" spans="1:48" ht="14.3" customHeight="1" x14ac:dyDescent="0.25">
      <c r="A15" s="727" t="s">
        <v>53</v>
      </c>
      <c r="B15" s="687"/>
      <c r="C15" s="687"/>
      <c r="D15" s="687"/>
      <c r="E15" s="687"/>
      <c r="F15" s="687"/>
      <c r="G15" s="687"/>
      <c r="H15" s="687"/>
      <c r="I15" s="687"/>
      <c r="J15" s="687"/>
      <c r="K15" s="687"/>
      <c r="L15" s="687"/>
      <c r="M15" s="687"/>
      <c r="N15" s="687"/>
      <c r="O15" s="687"/>
      <c r="P15" s="687"/>
      <c r="Q15" s="687"/>
      <c r="R15" s="687"/>
    </row>
    <row r="16" spans="1:48" x14ac:dyDescent="0.25">
      <c r="A16" s="410" t="s">
        <v>372</v>
      </c>
    </row>
    <row r="17" spans="1:41" x14ac:dyDescent="0.25">
      <c r="A17" t="s">
        <v>532</v>
      </c>
    </row>
    <row r="18" spans="1:41" x14ac:dyDescent="0.25">
      <c r="A18" t="s">
        <v>583</v>
      </c>
    </row>
    <row r="19" spans="1:41" x14ac:dyDescent="0.25">
      <c r="A19" t="s">
        <v>584</v>
      </c>
      <c r="S19" s="73"/>
    </row>
    <row r="20" spans="1:41" x14ac:dyDescent="0.25">
      <c r="A20" s="727" t="s">
        <v>758</v>
      </c>
      <c r="B20" s="687"/>
      <c r="C20" s="687"/>
      <c r="D20" s="687"/>
      <c r="E20" s="687"/>
      <c r="F20" s="687"/>
      <c r="G20" s="687"/>
      <c r="H20" s="687"/>
      <c r="I20" s="687"/>
      <c r="J20" s="687"/>
      <c r="K20" s="687"/>
      <c r="L20" s="687"/>
      <c r="M20" s="687"/>
      <c r="N20" s="687"/>
      <c r="O20" s="687"/>
      <c r="P20" s="687"/>
      <c r="Q20" s="687"/>
      <c r="R20" s="687"/>
      <c r="S20" s="73"/>
    </row>
    <row r="21" spans="1:41" x14ac:dyDescent="0.25">
      <c r="A21" t="s">
        <v>742</v>
      </c>
      <c r="S21" s="73"/>
    </row>
    <row r="22" spans="1:41" x14ac:dyDescent="0.25">
      <c r="A22" s="313"/>
      <c r="B22" s="73" t="s">
        <v>40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</row>
    <row r="23" spans="1:41" x14ac:dyDescent="0.25">
      <c r="A23" s="314"/>
      <c r="B23" s="73" t="s">
        <v>38</v>
      </c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</row>
    <row r="24" spans="1:41" x14ac:dyDescent="0.25">
      <c r="A24" s="315"/>
      <c r="B24" s="73" t="s">
        <v>39</v>
      </c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</row>
    <row r="25" spans="1:41" ht="16.3" x14ac:dyDescent="0.3">
      <c r="A25" s="681" t="s">
        <v>28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</row>
  </sheetData>
  <mergeCells count="15">
    <mergeCell ref="A15:R15"/>
    <mergeCell ref="A20:R20"/>
    <mergeCell ref="C14:E14"/>
    <mergeCell ref="Z1:AC1"/>
    <mergeCell ref="AD1:AG1"/>
    <mergeCell ref="AH1:AK1"/>
    <mergeCell ref="AL1:AO1"/>
    <mergeCell ref="C13:E13"/>
    <mergeCell ref="A1:C1"/>
    <mergeCell ref="E1:G1"/>
    <mergeCell ref="H1:I1"/>
    <mergeCell ref="J1:M1"/>
    <mergeCell ref="N1:O1"/>
    <mergeCell ref="P1:R1"/>
    <mergeCell ref="C12:E12"/>
  </mergeCells>
  <pageMargins left="0.7" right="0.7" top="0.75" bottom="0.75" header="0.3" footer="0.3"/>
  <pageSetup paperSize="9" orientation="portrait" r:id="rId1"/>
  <ignoredErrors>
    <ignoredError sqref="T13:V13 X13 D13:R13 Z13:AO13 W13 T12:V12 X12:Y12 F12:R12 Z12:AO12 W12" formulaRange="1"/>
    <ignoredError sqref="T9:T11" twoDigitTextYear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CDE93-AE69-4D04-A1BF-CDC2EE99770D}">
  <dimension ref="A1:AU27"/>
  <sheetViews>
    <sheetView zoomScaleNormal="100" workbookViewId="0">
      <selection activeCell="S12" sqref="S12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125" customWidth="1"/>
    <col min="5" max="18" width="3.75" customWidth="1"/>
    <col min="19" max="19" width="7.125" customWidth="1"/>
    <col min="20" max="20" width="6.25" customWidth="1"/>
    <col min="21" max="21" width="23.625" bestFit="1" customWidth="1"/>
    <col min="22" max="22" width="21.625" bestFit="1" customWidth="1"/>
    <col min="23" max="23" width="21.875" bestFit="1" customWidth="1"/>
    <col min="24" max="24" width="23.625" bestFit="1" customWidth="1"/>
    <col min="25" max="25" width="24.375" bestFit="1" customWidth="1"/>
    <col min="26" max="41" width="3.75" customWidth="1"/>
    <col min="46" max="46" width="9.875" bestFit="1" customWidth="1"/>
  </cols>
  <sheetData>
    <row r="1" spans="1:47" ht="14.95" customHeight="1" thickBot="1" x14ac:dyDescent="0.3">
      <c r="A1" s="842" t="s">
        <v>103</v>
      </c>
      <c r="B1" s="843"/>
      <c r="C1" s="843"/>
      <c r="D1" s="261"/>
      <c r="E1" s="844" t="s">
        <v>24</v>
      </c>
      <c r="F1" s="845"/>
      <c r="G1" s="846"/>
      <c r="H1" s="844" t="s">
        <v>74</v>
      </c>
      <c r="I1" s="846"/>
      <c r="J1" s="847" t="s">
        <v>6</v>
      </c>
      <c r="K1" s="848"/>
      <c r="L1" s="848"/>
      <c r="M1" s="849"/>
      <c r="N1" s="847" t="s">
        <v>7</v>
      </c>
      <c r="O1" s="849"/>
      <c r="P1" s="847" t="s">
        <v>25</v>
      </c>
      <c r="Q1" s="848"/>
      <c r="R1" s="849"/>
      <c r="S1" s="623" t="s">
        <v>8</v>
      </c>
      <c r="T1" s="262" t="s">
        <v>9</v>
      </c>
      <c r="U1" s="263" t="s">
        <v>10</v>
      </c>
      <c r="V1" s="263" t="s">
        <v>11</v>
      </c>
      <c r="W1" s="263" t="s">
        <v>109</v>
      </c>
      <c r="X1" s="263" t="s">
        <v>26</v>
      </c>
      <c r="Y1" s="263" t="s">
        <v>27</v>
      </c>
      <c r="Z1" s="836" t="s">
        <v>20</v>
      </c>
      <c r="AA1" s="837"/>
      <c r="AB1" s="837"/>
      <c r="AC1" s="838"/>
      <c r="AD1" s="836" t="s">
        <v>56</v>
      </c>
      <c r="AE1" s="837"/>
      <c r="AF1" s="837"/>
      <c r="AG1" s="838"/>
      <c r="AH1" s="836" t="s">
        <v>57</v>
      </c>
      <c r="AI1" s="837"/>
      <c r="AJ1" s="837"/>
      <c r="AK1" s="838"/>
      <c r="AL1" s="836" t="s">
        <v>58</v>
      </c>
      <c r="AM1" s="837"/>
      <c r="AN1" s="837"/>
      <c r="AO1" s="838"/>
    </row>
    <row r="2" spans="1:47" ht="14.95" customHeight="1" thickBot="1" x14ac:dyDescent="0.3">
      <c r="A2" s="264" t="s">
        <v>19</v>
      </c>
      <c r="B2" s="265" t="s">
        <v>18</v>
      </c>
      <c r="C2" s="266" t="s">
        <v>17</v>
      </c>
      <c r="D2" s="266" t="s">
        <v>37</v>
      </c>
      <c r="E2" s="267" t="s">
        <v>16</v>
      </c>
      <c r="F2" s="267" t="s">
        <v>4</v>
      </c>
      <c r="G2" s="267" t="s">
        <v>5</v>
      </c>
      <c r="H2" s="268" t="s">
        <v>12</v>
      </c>
      <c r="I2" s="268" t="s">
        <v>3</v>
      </c>
      <c r="J2" s="268" t="s">
        <v>12</v>
      </c>
      <c r="K2" s="268" t="s">
        <v>13</v>
      </c>
      <c r="L2" s="268" t="s">
        <v>2</v>
      </c>
      <c r="M2" s="268" t="s">
        <v>14</v>
      </c>
      <c r="N2" s="268" t="s">
        <v>15</v>
      </c>
      <c r="O2" s="268" t="s">
        <v>16</v>
      </c>
      <c r="P2" s="268" t="s">
        <v>21</v>
      </c>
      <c r="Q2" s="268" t="s">
        <v>22</v>
      </c>
      <c r="R2" s="268" t="s">
        <v>12</v>
      </c>
      <c r="S2" s="662"/>
      <c r="T2" s="270"/>
      <c r="U2" s="271"/>
      <c r="V2" s="269"/>
      <c r="W2" s="269"/>
      <c r="X2" s="263"/>
      <c r="Y2" s="272"/>
      <c r="Z2" s="273" t="s">
        <v>0</v>
      </c>
      <c r="AA2" s="273" t="s">
        <v>1</v>
      </c>
      <c r="AB2" s="273" t="s">
        <v>2</v>
      </c>
      <c r="AC2" s="273" t="s">
        <v>3</v>
      </c>
      <c r="AD2" s="273" t="s">
        <v>0</v>
      </c>
      <c r="AE2" s="273" t="s">
        <v>1</v>
      </c>
      <c r="AF2" s="273" t="s">
        <v>2</v>
      </c>
      <c r="AG2" s="273" t="s">
        <v>3</v>
      </c>
      <c r="AH2" s="273" t="s">
        <v>0</v>
      </c>
      <c r="AI2" s="273" t="s">
        <v>1</v>
      </c>
      <c r="AJ2" s="273" t="s">
        <v>2</v>
      </c>
      <c r="AK2" s="273" t="s">
        <v>3</v>
      </c>
      <c r="AL2" s="273" t="s">
        <v>0</v>
      </c>
      <c r="AM2" s="273" t="s">
        <v>1</v>
      </c>
      <c r="AN2" s="273" t="s">
        <v>2</v>
      </c>
      <c r="AO2" s="273" t="s">
        <v>3</v>
      </c>
      <c r="AT2" s="73" t="s">
        <v>508</v>
      </c>
    </row>
    <row r="3" spans="1:47" ht="14.95" customHeight="1" thickBot="1" x14ac:dyDescent="0.35">
      <c r="A3" s="155" t="s">
        <v>359</v>
      </c>
      <c r="B3" s="157" t="s">
        <v>153</v>
      </c>
      <c r="C3" s="157" t="s">
        <v>29</v>
      </c>
      <c r="D3" s="157" t="s">
        <v>360</v>
      </c>
      <c r="E3" s="158" t="s">
        <v>1</v>
      </c>
      <c r="F3" s="158">
        <v>38</v>
      </c>
      <c r="G3" s="158">
        <v>12</v>
      </c>
      <c r="H3" s="375">
        <v>1</v>
      </c>
      <c r="I3" s="375">
        <v>0</v>
      </c>
      <c r="J3" s="375">
        <v>6</v>
      </c>
      <c r="K3" s="375">
        <v>4</v>
      </c>
      <c r="L3" s="375">
        <v>0</v>
      </c>
      <c r="M3" s="375">
        <v>0</v>
      </c>
      <c r="N3" s="375">
        <v>0</v>
      </c>
      <c r="O3" s="375">
        <v>0</v>
      </c>
      <c r="P3" s="375">
        <v>0</v>
      </c>
      <c r="Q3" s="375">
        <v>0</v>
      </c>
      <c r="R3" s="375">
        <v>2</v>
      </c>
      <c r="S3" s="632"/>
      <c r="T3" s="163" t="s">
        <v>365</v>
      </c>
      <c r="U3" s="164" t="s">
        <v>363</v>
      </c>
      <c r="V3" s="162" t="s">
        <v>115</v>
      </c>
      <c r="W3" s="164" t="s">
        <v>364</v>
      </c>
      <c r="X3" s="164" t="s">
        <v>144</v>
      </c>
      <c r="Y3" s="159" t="s">
        <v>163</v>
      </c>
      <c r="Z3" s="159">
        <v>1</v>
      </c>
      <c r="AA3" s="159">
        <v>1</v>
      </c>
      <c r="AB3" s="159">
        <v>0</v>
      </c>
      <c r="AC3" s="523">
        <v>0</v>
      </c>
      <c r="AD3" s="159">
        <v>0</v>
      </c>
      <c r="AE3" s="159">
        <v>0</v>
      </c>
      <c r="AF3" s="159">
        <v>0</v>
      </c>
      <c r="AG3" s="523">
        <v>0</v>
      </c>
      <c r="AH3" s="159">
        <v>1</v>
      </c>
      <c r="AI3" s="159">
        <v>1</v>
      </c>
      <c r="AJ3" s="159">
        <v>0</v>
      </c>
      <c r="AK3" s="523">
        <v>0</v>
      </c>
      <c r="AL3" s="159">
        <v>0</v>
      </c>
      <c r="AM3" s="159">
        <v>0</v>
      </c>
      <c r="AN3" s="159">
        <v>0</v>
      </c>
      <c r="AO3" s="523">
        <v>0</v>
      </c>
      <c r="AT3" s="515" t="s">
        <v>503</v>
      </c>
      <c r="AU3" s="516">
        <v>43</v>
      </c>
    </row>
    <row r="4" spans="1:47" ht="14.95" customHeight="1" thickBot="1" x14ac:dyDescent="0.3">
      <c r="A4" s="170" t="s">
        <v>376</v>
      </c>
      <c r="B4" s="171" t="s">
        <v>153</v>
      </c>
      <c r="C4" s="171" t="s">
        <v>36</v>
      </c>
      <c r="D4" s="171" t="s">
        <v>377</v>
      </c>
      <c r="E4" s="172" t="s">
        <v>2</v>
      </c>
      <c r="F4" s="172">
        <v>27</v>
      </c>
      <c r="G4" s="172">
        <v>27</v>
      </c>
      <c r="H4" s="374">
        <v>1</v>
      </c>
      <c r="I4" s="374">
        <v>0</v>
      </c>
      <c r="J4" s="374">
        <v>4</v>
      </c>
      <c r="K4" s="374">
        <v>2</v>
      </c>
      <c r="L4" s="374">
        <v>0</v>
      </c>
      <c r="M4" s="374">
        <v>1</v>
      </c>
      <c r="N4" s="374">
        <v>0</v>
      </c>
      <c r="O4" s="374">
        <v>0</v>
      </c>
      <c r="P4" s="374">
        <v>1</v>
      </c>
      <c r="Q4" s="374">
        <v>0</v>
      </c>
      <c r="R4" s="374">
        <v>5</v>
      </c>
      <c r="S4" s="633"/>
      <c r="T4" s="446" t="s">
        <v>378</v>
      </c>
      <c r="U4" s="175" t="s">
        <v>252</v>
      </c>
      <c r="V4" s="173" t="s">
        <v>381</v>
      </c>
      <c r="W4" s="173" t="s">
        <v>382</v>
      </c>
      <c r="X4" s="176" t="s">
        <v>159</v>
      </c>
      <c r="Y4" s="177" t="s">
        <v>163</v>
      </c>
      <c r="Z4" s="176">
        <v>1</v>
      </c>
      <c r="AA4" s="176">
        <v>0</v>
      </c>
      <c r="AB4" s="176">
        <v>1</v>
      </c>
      <c r="AC4" s="342">
        <v>0</v>
      </c>
      <c r="AD4" s="176">
        <v>1</v>
      </c>
      <c r="AE4" s="176">
        <v>0</v>
      </c>
      <c r="AF4" s="176">
        <v>1</v>
      </c>
      <c r="AG4" s="342">
        <v>0</v>
      </c>
      <c r="AH4" s="176">
        <v>0</v>
      </c>
      <c r="AI4" s="176">
        <v>0</v>
      </c>
      <c r="AJ4" s="176">
        <v>0</v>
      </c>
      <c r="AK4" s="342">
        <v>0</v>
      </c>
      <c r="AL4" s="176">
        <v>0</v>
      </c>
      <c r="AM4" s="176">
        <v>0</v>
      </c>
      <c r="AN4" s="176">
        <v>0</v>
      </c>
      <c r="AO4" s="342">
        <v>0</v>
      </c>
      <c r="AT4" s="517" t="s">
        <v>504</v>
      </c>
      <c r="AU4" s="518">
        <v>41</v>
      </c>
    </row>
    <row r="5" spans="1:47" ht="14.95" customHeight="1" thickBot="1" x14ac:dyDescent="0.35">
      <c r="A5" s="170" t="s">
        <v>403</v>
      </c>
      <c r="B5" s="171" t="s">
        <v>153</v>
      </c>
      <c r="C5" s="171" t="s">
        <v>55</v>
      </c>
      <c r="D5" s="171" t="s">
        <v>405</v>
      </c>
      <c r="E5" s="172" t="s">
        <v>1</v>
      </c>
      <c r="F5" s="172">
        <v>79</v>
      </c>
      <c r="G5" s="172">
        <v>14</v>
      </c>
      <c r="H5" s="374">
        <v>1</v>
      </c>
      <c r="I5" s="374">
        <v>0</v>
      </c>
      <c r="J5" s="374">
        <v>13</v>
      </c>
      <c r="K5" s="374">
        <v>7</v>
      </c>
      <c r="L5" s="374">
        <v>0</v>
      </c>
      <c r="M5" s="374">
        <v>0</v>
      </c>
      <c r="N5" s="374">
        <v>0</v>
      </c>
      <c r="O5" s="374">
        <v>0</v>
      </c>
      <c r="P5" s="374">
        <v>0</v>
      </c>
      <c r="Q5" s="374">
        <v>0</v>
      </c>
      <c r="R5" s="374">
        <v>2</v>
      </c>
      <c r="S5" s="633"/>
      <c r="T5" s="181" t="s">
        <v>404</v>
      </c>
      <c r="U5" s="175" t="s">
        <v>116</v>
      </c>
      <c r="V5" s="173" t="s">
        <v>141</v>
      </c>
      <c r="W5" s="173" t="s">
        <v>382</v>
      </c>
      <c r="X5" s="176" t="s">
        <v>159</v>
      </c>
      <c r="Y5" s="175" t="s">
        <v>163</v>
      </c>
      <c r="Z5" s="176">
        <v>1</v>
      </c>
      <c r="AA5" s="176">
        <v>1</v>
      </c>
      <c r="AB5" s="176">
        <v>0</v>
      </c>
      <c r="AC5" s="342">
        <v>0</v>
      </c>
      <c r="AD5" s="176">
        <v>1</v>
      </c>
      <c r="AE5" s="176">
        <v>1</v>
      </c>
      <c r="AF5" s="176">
        <v>0</v>
      </c>
      <c r="AG5" s="342">
        <v>0</v>
      </c>
      <c r="AH5" s="176">
        <v>0</v>
      </c>
      <c r="AI5" s="176">
        <v>0</v>
      </c>
      <c r="AJ5" s="176">
        <v>0</v>
      </c>
      <c r="AK5" s="342">
        <v>0</v>
      </c>
      <c r="AL5" s="176">
        <v>0</v>
      </c>
      <c r="AM5" s="176">
        <v>0</v>
      </c>
      <c r="AN5" s="176">
        <v>0</v>
      </c>
      <c r="AO5" s="342">
        <v>0</v>
      </c>
      <c r="AT5" s="517" t="s">
        <v>505</v>
      </c>
      <c r="AU5" s="518">
        <v>0</v>
      </c>
    </row>
    <row r="6" spans="1:47" ht="14.95" customHeight="1" thickBot="1" x14ac:dyDescent="0.35">
      <c r="A6" s="170" t="s">
        <v>483</v>
      </c>
      <c r="B6" s="171" t="s">
        <v>484</v>
      </c>
      <c r="C6" s="171" t="s">
        <v>29</v>
      </c>
      <c r="D6" s="171" t="s">
        <v>485</v>
      </c>
      <c r="E6" s="172" t="s">
        <v>1</v>
      </c>
      <c r="F6" s="172">
        <v>37</v>
      </c>
      <c r="G6" s="172">
        <v>12</v>
      </c>
      <c r="H6" s="374" t="s">
        <v>69</v>
      </c>
      <c r="I6" s="374" t="s">
        <v>69</v>
      </c>
      <c r="J6" s="374">
        <v>7</v>
      </c>
      <c r="K6" s="374">
        <v>1</v>
      </c>
      <c r="L6" s="374">
        <v>0</v>
      </c>
      <c r="M6" s="374">
        <v>0</v>
      </c>
      <c r="N6" s="374">
        <v>0</v>
      </c>
      <c r="O6" s="374">
        <v>0</v>
      </c>
      <c r="P6" s="374" t="s">
        <v>69</v>
      </c>
      <c r="Q6" s="374" t="s">
        <v>69</v>
      </c>
      <c r="R6" s="374">
        <v>2</v>
      </c>
      <c r="S6" s="633"/>
      <c r="T6" s="181" t="s">
        <v>253</v>
      </c>
      <c r="U6" s="175" t="s">
        <v>252</v>
      </c>
      <c r="V6" s="173" t="s">
        <v>141</v>
      </c>
      <c r="W6" s="173" t="s">
        <v>382</v>
      </c>
      <c r="X6" s="175" t="s">
        <v>145</v>
      </c>
      <c r="Y6" s="177" t="s">
        <v>163</v>
      </c>
      <c r="Z6" s="176">
        <v>1</v>
      </c>
      <c r="AA6" s="176">
        <v>1</v>
      </c>
      <c r="AB6" s="176">
        <v>0</v>
      </c>
      <c r="AC6" s="342">
        <v>0</v>
      </c>
      <c r="AD6" s="176">
        <v>1</v>
      </c>
      <c r="AE6" s="176">
        <v>1</v>
      </c>
      <c r="AF6" s="176">
        <v>0</v>
      </c>
      <c r="AG6" s="342">
        <v>0</v>
      </c>
      <c r="AH6" s="176">
        <v>0</v>
      </c>
      <c r="AI6" s="176">
        <v>0</v>
      </c>
      <c r="AJ6" s="176">
        <v>0</v>
      </c>
      <c r="AK6" s="342">
        <v>0</v>
      </c>
      <c r="AL6" s="176">
        <v>0</v>
      </c>
      <c r="AM6" s="176">
        <v>0</v>
      </c>
      <c r="AN6" s="176">
        <v>0</v>
      </c>
      <c r="AO6" s="342">
        <v>0</v>
      </c>
      <c r="AT6" s="517" t="s">
        <v>506</v>
      </c>
      <c r="AU6" s="518">
        <v>2</v>
      </c>
    </row>
    <row r="7" spans="1:47" ht="14.95" customHeight="1" thickBot="1" x14ac:dyDescent="0.35">
      <c r="A7" s="187" t="s">
        <v>245</v>
      </c>
      <c r="B7" s="188" t="s">
        <v>231</v>
      </c>
      <c r="C7" s="188" t="s">
        <v>133</v>
      </c>
      <c r="D7" s="188" t="s">
        <v>206</v>
      </c>
      <c r="E7" s="184" t="s">
        <v>1</v>
      </c>
      <c r="F7" s="184">
        <v>54</v>
      </c>
      <c r="G7" s="184">
        <v>8</v>
      </c>
      <c r="H7" s="373">
        <v>1</v>
      </c>
      <c r="I7" s="373">
        <v>0</v>
      </c>
      <c r="J7" s="373">
        <v>8</v>
      </c>
      <c r="K7" s="373">
        <v>7</v>
      </c>
      <c r="L7" s="373">
        <v>0</v>
      </c>
      <c r="M7" s="373">
        <v>0</v>
      </c>
      <c r="N7" s="373">
        <v>0</v>
      </c>
      <c r="O7" s="373">
        <v>0</v>
      </c>
      <c r="P7" s="373">
        <v>0</v>
      </c>
      <c r="Q7" s="373">
        <v>0</v>
      </c>
      <c r="R7" s="373">
        <v>1</v>
      </c>
      <c r="S7" s="373">
        <v>7458</v>
      </c>
      <c r="T7" s="363" t="s">
        <v>697</v>
      </c>
      <c r="U7" s="186" t="s">
        <v>159</v>
      </c>
      <c r="V7" s="297" t="s">
        <v>111</v>
      </c>
      <c r="W7" s="297" t="s">
        <v>139</v>
      </c>
      <c r="X7" s="617" t="s">
        <v>252</v>
      </c>
      <c r="Y7" s="618" t="s">
        <v>132</v>
      </c>
      <c r="Z7" s="186">
        <v>1</v>
      </c>
      <c r="AA7" s="186">
        <v>1</v>
      </c>
      <c r="AB7" s="186">
        <v>0</v>
      </c>
      <c r="AC7" s="341">
        <v>0</v>
      </c>
      <c r="AD7" s="186">
        <v>0</v>
      </c>
      <c r="AE7" s="186">
        <v>0</v>
      </c>
      <c r="AF7" s="186">
        <v>0</v>
      </c>
      <c r="AG7" s="341">
        <v>0</v>
      </c>
      <c r="AH7" s="186">
        <v>0</v>
      </c>
      <c r="AI7" s="186">
        <v>0</v>
      </c>
      <c r="AJ7" s="186">
        <v>0</v>
      </c>
      <c r="AK7" s="341">
        <v>0</v>
      </c>
      <c r="AL7" s="186">
        <v>1</v>
      </c>
      <c r="AM7" s="186">
        <v>1</v>
      </c>
      <c r="AN7" s="186">
        <v>0</v>
      </c>
      <c r="AO7" s="341">
        <v>0</v>
      </c>
      <c r="AT7" s="517" t="s">
        <v>507</v>
      </c>
      <c r="AU7" s="518">
        <v>2038</v>
      </c>
    </row>
    <row r="8" spans="1:47" ht="14.95" customHeight="1" thickBot="1" x14ac:dyDescent="0.35">
      <c r="A8" s="201" t="s">
        <v>242</v>
      </c>
      <c r="B8" s="202" t="s">
        <v>231</v>
      </c>
      <c r="C8" s="202" t="s">
        <v>99</v>
      </c>
      <c r="D8" s="202" t="s">
        <v>241</v>
      </c>
      <c r="E8" s="184" t="s">
        <v>1</v>
      </c>
      <c r="F8" s="184">
        <v>62</v>
      </c>
      <c r="G8" s="184">
        <v>19</v>
      </c>
      <c r="H8" s="373">
        <v>1</v>
      </c>
      <c r="I8" s="373">
        <v>0</v>
      </c>
      <c r="J8" s="373">
        <v>10</v>
      </c>
      <c r="K8" s="373">
        <v>6</v>
      </c>
      <c r="L8" s="373">
        <v>0</v>
      </c>
      <c r="M8" s="373">
        <v>0</v>
      </c>
      <c r="N8" s="373">
        <v>1</v>
      </c>
      <c r="O8" s="610">
        <v>1</v>
      </c>
      <c r="P8" s="373">
        <v>0</v>
      </c>
      <c r="Q8" s="373">
        <v>0</v>
      </c>
      <c r="R8" s="373">
        <v>3</v>
      </c>
      <c r="S8" s="373">
        <v>13902</v>
      </c>
      <c r="T8" s="363" t="s">
        <v>740</v>
      </c>
      <c r="U8" s="190" t="s">
        <v>119</v>
      </c>
      <c r="V8" s="189" t="s">
        <v>115</v>
      </c>
      <c r="W8" s="297" t="s">
        <v>111</v>
      </c>
      <c r="X8" s="190" t="s">
        <v>146</v>
      </c>
      <c r="Y8" s="186" t="s">
        <v>163</v>
      </c>
      <c r="Z8" s="186">
        <v>1</v>
      </c>
      <c r="AA8" s="186">
        <v>1</v>
      </c>
      <c r="AB8" s="186">
        <v>0</v>
      </c>
      <c r="AC8" s="341">
        <v>0</v>
      </c>
      <c r="AD8" s="186">
        <v>0</v>
      </c>
      <c r="AE8" s="186">
        <v>0</v>
      </c>
      <c r="AF8" s="186">
        <v>0</v>
      </c>
      <c r="AG8" s="341">
        <v>0</v>
      </c>
      <c r="AH8" s="186">
        <v>0</v>
      </c>
      <c r="AI8" s="186">
        <v>0</v>
      </c>
      <c r="AJ8" s="186">
        <v>0</v>
      </c>
      <c r="AK8" s="341">
        <v>0</v>
      </c>
      <c r="AL8" s="186">
        <v>1</v>
      </c>
      <c r="AM8" s="186">
        <v>1</v>
      </c>
      <c r="AN8" s="186">
        <v>0</v>
      </c>
      <c r="AO8" s="341">
        <v>0</v>
      </c>
    </row>
    <row r="9" spans="1:47" ht="14.95" customHeight="1" thickBot="1" x14ac:dyDescent="0.35">
      <c r="A9" s="201" t="s">
        <v>174</v>
      </c>
      <c r="B9" s="202" t="s">
        <v>231</v>
      </c>
      <c r="C9" s="202" t="s">
        <v>35</v>
      </c>
      <c r="D9" s="202" t="s">
        <v>238</v>
      </c>
      <c r="E9" s="184" t="s">
        <v>1</v>
      </c>
      <c r="F9" s="184">
        <v>40</v>
      </c>
      <c r="G9" s="184">
        <v>0</v>
      </c>
      <c r="H9" s="373">
        <v>1</v>
      </c>
      <c r="I9" s="373">
        <v>0</v>
      </c>
      <c r="J9" s="373">
        <v>6</v>
      </c>
      <c r="K9" s="373">
        <v>5</v>
      </c>
      <c r="L9" s="373">
        <v>0</v>
      </c>
      <c r="M9" s="373">
        <v>0</v>
      </c>
      <c r="N9" s="373">
        <v>0</v>
      </c>
      <c r="O9" s="373">
        <v>0</v>
      </c>
      <c r="P9" s="373">
        <v>0</v>
      </c>
      <c r="Q9" s="373">
        <v>0</v>
      </c>
      <c r="R9" s="373">
        <v>0</v>
      </c>
      <c r="S9" s="373">
        <v>30017</v>
      </c>
      <c r="T9" s="363" t="s">
        <v>365</v>
      </c>
      <c r="U9" s="186" t="s">
        <v>247</v>
      </c>
      <c r="V9" s="186" t="s">
        <v>111</v>
      </c>
      <c r="W9" s="186" t="s">
        <v>136</v>
      </c>
      <c r="X9" s="186" t="s">
        <v>128</v>
      </c>
      <c r="Y9" s="186" t="s">
        <v>154</v>
      </c>
      <c r="Z9" s="186">
        <v>1</v>
      </c>
      <c r="AA9" s="186">
        <v>1</v>
      </c>
      <c r="AB9" s="186">
        <v>0</v>
      </c>
      <c r="AC9" s="341">
        <v>0</v>
      </c>
      <c r="AD9" s="186">
        <v>0</v>
      </c>
      <c r="AE9" s="186">
        <v>0</v>
      </c>
      <c r="AF9" s="186">
        <v>0</v>
      </c>
      <c r="AG9" s="341">
        <v>0</v>
      </c>
      <c r="AH9" s="186">
        <v>0</v>
      </c>
      <c r="AI9" s="186">
        <v>0</v>
      </c>
      <c r="AJ9" s="186">
        <v>0</v>
      </c>
      <c r="AK9" s="341">
        <v>0</v>
      </c>
      <c r="AL9" s="186">
        <v>1</v>
      </c>
      <c r="AM9" s="186">
        <v>1</v>
      </c>
      <c r="AN9" s="186">
        <v>0</v>
      </c>
      <c r="AO9" s="341">
        <v>0</v>
      </c>
    </row>
    <row r="10" spans="1:47" ht="14.95" customHeight="1" thickBot="1" x14ac:dyDescent="0.3">
      <c r="A10" s="201" t="s">
        <v>597</v>
      </c>
      <c r="B10" s="624" t="s">
        <v>700</v>
      </c>
      <c r="C10" s="202" t="s">
        <v>95</v>
      </c>
      <c r="D10" s="202" t="s">
        <v>241</v>
      </c>
      <c r="E10" s="184" t="s">
        <v>1</v>
      </c>
      <c r="F10" s="184">
        <v>46</v>
      </c>
      <c r="G10" s="184">
        <v>17</v>
      </c>
      <c r="H10" s="373" t="s">
        <v>69</v>
      </c>
      <c r="I10" s="373" t="s">
        <v>69</v>
      </c>
      <c r="J10" s="373">
        <v>8</v>
      </c>
      <c r="K10" s="373">
        <v>3</v>
      </c>
      <c r="L10" s="373">
        <v>0</v>
      </c>
      <c r="M10" s="373">
        <v>0</v>
      </c>
      <c r="N10" s="373">
        <v>0</v>
      </c>
      <c r="O10" s="373">
        <v>0</v>
      </c>
      <c r="P10" s="373" t="s">
        <v>69</v>
      </c>
      <c r="Q10" s="373" t="s">
        <v>69</v>
      </c>
      <c r="R10" s="373">
        <v>3</v>
      </c>
      <c r="S10" s="373">
        <v>12116</v>
      </c>
      <c r="T10" s="668" t="s">
        <v>802</v>
      </c>
      <c r="U10" s="186" t="s">
        <v>116</v>
      </c>
      <c r="V10" s="186" t="s">
        <v>141</v>
      </c>
      <c r="W10" s="186" t="s">
        <v>136</v>
      </c>
      <c r="X10" s="186" t="s">
        <v>159</v>
      </c>
      <c r="Y10" s="186" t="s">
        <v>252</v>
      </c>
      <c r="Z10" s="186">
        <v>1</v>
      </c>
      <c r="AA10" s="186">
        <v>1</v>
      </c>
      <c r="AB10" s="186">
        <v>0</v>
      </c>
      <c r="AC10" s="341">
        <v>0</v>
      </c>
      <c r="AD10" s="186">
        <v>0</v>
      </c>
      <c r="AE10" s="186">
        <v>0</v>
      </c>
      <c r="AF10" s="186">
        <v>0</v>
      </c>
      <c r="AG10" s="341">
        <v>0</v>
      </c>
      <c r="AH10" s="186">
        <v>0</v>
      </c>
      <c r="AI10" s="186">
        <v>0</v>
      </c>
      <c r="AJ10" s="186">
        <v>0</v>
      </c>
      <c r="AK10" s="341">
        <v>0</v>
      </c>
      <c r="AL10" s="186">
        <v>1</v>
      </c>
      <c r="AM10" s="186">
        <v>1</v>
      </c>
      <c r="AN10" s="186">
        <v>0</v>
      </c>
      <c r="AO10" s="341">
        <v>0</v>
      </c>
    </row>
    <row r="11" spans="1:47" ht="14.95" customHeight="1" thickBot="1" x14ac:dyDescent="0.3">
      <c r="A11" s="201" t="s">
        <v>600</v>
      </c>
      <c r="B11" s="202" t="s">
        <v>803</v>
      </c>
      <c r="C11" s="202" t="s">
        <v>36</v>
      </c>
      <c r="D11" s="202" t="s">
        <v>713</v>
      </c>
      <c r="E11" s="184" t="s">
        <v>3</v>
      </c>
      <c r="F11" s="184">
        <v>19</v>
      </c>
      <c r="G11" s="184">
        <v>34</v>
      </c>
      <c r="H11" s="373" t="s">
        <v>69</v>
      </c>
      <c r="I11" s="373" t="s">
        <v>69</v>
      </c>
      <c r="J11" s="373">
        <v>3</v>
      </c>
      <c r="K11" s="373">
        <v>2</v>
      </c>
      <c r="L11" s="373">
        <v>0</v>
      </c>
      <c r="M11" s="373">
        <v>0</v>
      </c>
      <c r="N11" s="373">
        <v>0</v>
      </c>
      <c r="O11" s="373">
        <v>0</v>
      </c>
      <c r="P11" s="373" t="s">
        <v>69</v>
      </c>
      <c r="Q11" s="373" t="s">
        <v>69</v>
      </c>
      <c r="R11" s="373">
        <v>5</v>
      </c>
      <c r="S11" s="391">
        <v>24592</v>
      </c>
      <c r="T11" s="204" t="s">
        <v>824</v>
      </c>
      <c r="U11" s="186" t="s">
        <v>146</v>
      </c>
      <c r="V11" s="186" t="s">
        <v>111</v>
      </c>
      <c r="W11" s="186" t="s">
        <v>136</v>
      </c>
      <c r="X11" s="186" t="s">
        <v>119</v>
      </c>
      <c r="Y11" s="186" t="s">
        <v>159</v>
      </c>
      <c r="Z11" s="186">
        <v>1</v>
      </c>
      <c r="AA11" s="186">
        <v>0</v>
      </c>
      <c r="AB11" s="186">
        <v>0</v>
      </c>
      <c r="AC11" s="341">
        <v>1</v>
      </c>
      <c r="AD11" s="186">
        <v>0</v>
      </c>
      <c r="AE11" s="186">
        <v>0</v>
      </c>
      <c r="AF11" s="186">
        <v>0</v>
      </c>
      <c r="AG11" s="341">
        <v>0</v>
      </c>
      <c r="AH11" s="186">
        <v>0</v>
      </c>
      <c r="AI11" s="186">
        <v>0</v>
      </c>
      <c r="AJ11" s="186">
        <v>0</v>
      </c>
      <c r="AK11" s="341">
        <v>0</v>
      </c>
      <c r="AL11" s="186">
        <v>1</v>
      </c>
      <c r="AM11" s="186">
        <v>0</v>
      </c>
      <c r="AN11" s="186">
        <v>0</v>
      </c>
      <c r="AO11" s="341">
        <v>1</v>
      </c>
    </row>
    <row r="12" spans="1:47" ht="14.95" customHeight="1" thickBot="1" x14ac:dyDescent="0.3">
      <c r="A12" s="201" t="s">
        <v>602</v>
      </c>
      <c r="B12" s="202" t="s">
        <v>822</v>
      </c>
      <c r="C12" s="202" t="s">
        <v>33</v>
      </c>
      <c r="D12" s="202" t="s">
        <v>94</v>
      </c>
      <c r="E12" s="184" t="s">
        <v>1</v>
      </c>
      <c r="F12" s="184">
        <v>42</v>
      </c>
      <c r="G12" s="184">
        <v>26</v>
      </c>
      <c r="H12" s="373" t="s">
        <v>69</v>
      </c>
      <c r="I12" s="373" t="s">
        <v>69</v>
      </c>
      <c r="J12" s="373">
        <v>6</v>
      </c>
      <c r="K12" s="373">
        <v>3</v>
      </c>
      <c r="L12" s="373">
        <v>0</v>
      </c>
      <c r="M12" s="373">
        <v>2</v>
      </c>
      <c r="N12" s="373">
        <v>0</v>
      </c>
      <c r="O12" s="373">
        <v>0</v>
      </c>
      <c r="P12" s="373" t="s">
        <v>69</v>
      </c>
      <c r="Q12" s="373" t="s">
        <v>69</v>
      </c>
      <c r="R12" s="373">
        <v>4</v>
      </c>
      <c r="S12" s="391">
        <v>81885</v>
      </c>
      <c r="T12" s="668" t="s">
        <v>274</v>
      </c>
      <c r="U12" s="186" t="s">
        <v>159</v>
      </c>
      <c r="V12" s="186" t="s">
        <v>111</v>
      </c>
      <c r="W12" s="186" t="s">
        <v>110</v>
      </c>
      <c r="X12" s="186" t="s">
        <v>252</v>
      </c>
      <c r="Y12" s="186" t="s">
        <v>116</v>
      </c>
      <c r="Z12" s="186">
        <v>1</v>
      </c>
      <c r="AA12" s="186">
        <v>1</v>
      </c>
      <c r="AB12" s="186">
        <v>0</v>
      </c>
      <c r="AC12" s="341">
        <v>0</v>
      </c>
      <c r="AD12" s="186">
        <v>0</v>
      </c>
      <c r="AE12" s="186">
        <v>0</v>
      </c>
      <c r="AF12" s="186">
        <v>0</v>
      </c>
      <c r="AG12" s="341">
        <v>0</v>
      </c>
      <c r="AH12" s="186">
        <v>0</v>
      </c>
      <c r="AI12" s="186">
        <v>0</v>
      </c>
      <c r="AJ12" s="186">
        <v>0</v>
      </c>
      <c r="AK12" s="341">
        <v>0</v>
      </c>
      <c r="AL12" s="186">
        <v>1</v>
      </c>
      <c r="AM12" s="186">
        <v>1</v>
      </c>
      <c r="AN12" s="186">
        <v>0</v>
      </c>
      <c r="AO12" s="341">
        <v>0</v>
      </c>
    </row>
    <row r="13" spans="1:47" ht="14.95" customHeight="1" thickBot="1" x14ac:dyDescent="0.3">
      <c r="A13" s="104"/>
      <c r="B13" s="105"/>
      <c r="C13" s="839" t="s">
        <v>92</v>
      </c>
      <c r="D13" s="840"/>
      <c r="E13" s="841"/>
      <c r="F13" s="669">
        <f t="shared" ref="F13:R13" si="0">SUM(F3:F5)</f>
        <v>144</v>
      </c>
      <c r="G13" s="669">
        <f t="shared" si="0"/>
        <v>53</v>
      </c>
      <c r="H13" s="669">
        <f t="shared" si="0"/>
        <v>3</v>
      </c>
      <c r="I13" s="669">
        <f t="shared" si="0"/>
        <v>0</v>
      </c>
      <c r="J13" s="669">
        <f t="shared" si="0"/>
        <v>23</v>
      </c>
      <c r="K13" s="669">
        <f t="shared" si="0"/>
        <v>13</v>
      </c>
      <c r="L13" s="669">
        <f t="shared" si="0"/>
        <v>0</v>
      </c>
      <c r="M13" s="669">
        <f t="shared" si="0"/>
        <v>1</v>
      </c>
      <c r="N13" s="669">
        <f t="shared" si="0"/>
        <v>0</v>
      </c>
      <c r="O13" s="669">
        <f t="shared" si="0"/>
        <v>0</v>
      </c>
      <c r="P13" s="669">
        <f t="shared" si="0"/>
        <v>1</v>
      </c>
      <c r="Q13" s="669">
        <f t="shared" si="0"/>
        <v>0</v>
      </c>
      <c r="R13" s="669">
        <f t="shared" si="0"/>
        <v>9</v>
      </c>
      <c r="S13" s="663"/>
      <c r="T13" s="447"/>
      <c r="U13" s="447"/>
      <c r="V13" s="447"/>
      <c r="W13" s="447"/>
      <c r="X13" s="448"/>
      <c r="Y13" s="670" t="s">
        <v>92</v>
      </c>
      <c r="Z13" s="669">
        <f t="shared" ref="Z13:AO13" si="1">SUM(Z3:Z5)</f>
        <v>3</v>
      </c>
      <c r="AA13" s="669">
        <f t="shared" si="1"/>
        <v>2</v>
      </c>
      <c r="AB13" s="669">
        <f t="shared" si="1"/>
        <v>1</v>
      </c>
      <c r="AC13" s="669">
        <f t="shared" si="1"/>
        <v>0</v>
      </c>
      <c r="AD13" s="671">
        <f t="shared" si="1"/>
        <v>2</v>
      </c>
      <c r="AE13" s="671">
        <f t="shared" si="1"/>
        <v>1</v>
      </c>
      <c r="AF13" s="671">
        <f t="shared" si="1"/>
        <v>1</v>
      </c>
      <c r="AG13" s="671">
        <f t="shared" si="1"/>
        <v>0</v>
      </c>
      <c r="AH13" s="672">
        <f t="shared" si="1"/>
        <v>1</v>
      </c>
      <c r="AI13" s="672">
        <f t="shared" si="1"/>
        <v>1</v>
      </c>
      <c r="AJ13" s="672">
        <f t="shared" si="1"/>
        <v>0</v>
      </c>
      <c r="AK13" s="672">
        <f t="shared" si="1"/>
        <v>0</v>
      </c>
      <c r="AL13" s="669">
        <f t="shared" si="1"/>
        <v>0</v>
      </c>
      <c r="AM13" s="669">
        <f t="shared" si="1"/>
        <v>0</v>
      </c>
      <c r="AN13" s="669">
        <f t="shared" si="1"/>
        <v>0</v>
      </c>
      <c r="AO13" s="669">
        <f t="shared" si="1"/>
        <v>0</v>
      </c>
    </row>
    <row r="14" spans="1:47" ht="14.95" customHeight="1" thickBot="1" x14ac:dyDescent="0.3">
      <c r="A14" s="104"/>
      <c r="B14" s="105"/>
      <c r="C14" s="731" t="s">
        <v>237</v>
      </c>
      <c r="D14" s="732"/>
      <c r="E14" s="733"/>
      <c r="F14" s="457">
        <f>SUM(F7:F12)</f>
        <v>263</v>
      </c>
      <c r="G14" s="457">
        <f t="shared" ref="G14:R14" si="2">SUM(G7:G12)</f>
        <v>104</v>
      </c>
      <c r="H14" s="457">
        <f t="shared" si="2"/>
        <v>3</v>
      </c>
      <c r="I14" s="457">
        <f t="shared" si="2"/>
        <v>0</v>
      </c>
      <c r="J14" s="457">
        <f t="shared" si="2"/>
        <v>41</v>
      </c>
      <c r="K14" s="457">
        <f t="shared" si="2"/>
        <v>26</v>
      </c>
      <c r="L14" s="457">
        <f t="shared" si="2"/>
        <v>0</v>
      </c>
      <c r="M14" s="457">
        <f t="shared" si="2"/>
        <v>2</v>
      </c>
      <c r="N14" s="457">
        <f t="shared" si="2"/>
        <v>1</v>
      </c>
      <c r="O14" s="457">
        <f t="shared" si="2"/>
        <v>1</v>
      </c>
      <c r="P14" s="457">
        <f t="shared" si="2"/>
        <v>0</v>
      </c>
      <c r="Q14" s="457">
        <f t="shared" si="2"/>
        <v>0</v>
      </c>
      <c r="R14" s="457">
        <f t="shared" si="2"/>
        <v>16</v>
      </c>
      <c r="S14" s="664"/>
      <c r="T14" s="458"/>
      <c r="U14" s="458"/>
      <c r="V14" s="458"/>
      <c r="W14" s="458"/>
      <c r="X14" s="459"/>
      <c r="Y14" s="460" t="s">
        <v>237</v>
      </c>
      <c r="Z14" s="457">
        <f t="shared" ref="Z14:AO14" si="3">SUM(Z7:Z12)</f>
        <v>6</v>
      </c>
      <c r="AA14" s="457">
        <f t="shared" si="3"/>
        <v>5</v>
      </c>
      <c r="AB14" s="457">
        <f t="shared" si="3"/>
        <v>0</v>
      </c>
      <c r="AC14" s="457">
        <f t="shared" si="3"/>
        <v>1</v>
      </c>
      <c r="AD14" s="461">
        <f t="shared" si="3"/>
        <v>0</v>
      </c>
      <c r="AE14" s="461">
        <f t="shared" si="3"/>
        <v>0</v>
      </c>
      <c r="AF14" s="461">
        <f t="shared" si="3"/>
        <v>0</v>
      </c>
      <c r="AG14" s="461">
        <f t="shared" si="3"/>
        <v>0</v>
      </c>
      <c r="AH14" s="462">
        <f t="shared" si="3"/>
        <v>0</v>
      </c>
      <c r="AI14" s="462">
        <f t="shared" si="3"/>
        <v>0</v>
      </c>
      <c r="AJ14" s="462">
        <f t="shared" si="3"/>
        <v>0</v>
      </c>
      <c r="AK14" s="462">
        <f t="shared" si="3"/>
        <v>0</v>
      </c>
      <c r="AL14" s="457">
        <f t="shared" si="3"/>
        <v>6</v>
      </c>
      <c r="AM14" s="457">
        <f t="shared" si="3"/>
        <v>5</v>
      </c>
      <c r="AN14" s="457">
        <f t="shared" si="3"/>
        <v>0</v>
      </c>
      <c r="AO14" s="457">
        <f t="shared" si="3"/>
        <v>1</v>
      </c>
    </row>
    <row r="15" spans="1:47" ht="14.95" customHeight="1" thickBot="1" x14ac:dyDescent="0.3">
      <c r="A15" s="104"/>
      <c r="B15" s="105"/>
      <c r="C15" s="728" t="s">
        <v>70</v>
      </c>
      <c r="D15" s="729"/>
      <c r="E15" s="730"/>
      <c r="F15" s="128">
        <f>SUM(F3:F12)</f>
        <v>444</v>
      </c>
      <c r="G15" s="128">
        <f t="shared" ref="G15:R15" si="4">SUM(G3:G12)</f>
        <v>169</v>
      </c>
      <c r="H15" s="128">
        <f t="shared" si="4"/>
        <v>6</v>
      </c>
      <c r="I15" s="128">
        <f t="shared" si="4"/>
        <v>0</v>
      </c>
      <c r="J15" s="128">
        <f t="shared" si="4"/>
        <v>71</v>
      </c>
      <c r="K15" s="128">
        <f t="shared" si="4"/>
        <v>40</v>
      </c>
      <c r="L15" s="128">
        <f t="shared" si="4"/>
        <v>0</v>
      </c>
      <c r="M15" s="128">
        <f t="shared" si="4"/>
        <v>3</v>
      </c>
      <c r="N15" s="128">
        <f t="shared" si="4"/>
        <v>1</v>
      </c>
      <c r="O15" s="128">
        <f t="shared" si="4"/>
        <v>1</v>
      </c>
      <c r="P15" s="128">
        <f t="shared" si="4"/>
        <v>1</v>
      </c>
      <c r="Q15" s="128">
        <f t="shared" si="4"/>
        <v>0</v>
      </c>
      <c r="R15" s="128">
        <f t="shared" si="4"/>
        <v>27</v>
      </c>
      <c r="S15" s="665"/>
      <c r="T15" s="197"/>
      <c r="U15" s="197"/>
      <c r="V15" s="197"/>
      <c r="W15" s="197"/>
      <c r="X15" s="12"/>
      <c r="Y15" s="133" t="s">
        <v>70</v>
      </c>
      <c r="Z15" s="128">
        <f t="shared" ref="Z15:AO15" si="5">SUM(Z3:Z12)</f>
        <v>10</v>
      </c>
      <c r="AA15" s="128">
        <f t="shared" si="5"/>
        <v>8</v>
      </c>
      <c r="AB15" s="128">
        <f t="shared" si="5"/>
        <v>1</v>
      </c>
      <c r="AC15" s="128">
        <f t="shared" si="5"/>
        <v>1</v>
      </c>
      <c r="AD15" s="126">
        <f t="shared" si="5"/>
        <v>3</v>
      </c>
      <c r="AE15" s="126">
        <f t="shared" si="5"/>
        <v>2</v>
      </c>
      <c r="AF15" s="126">
        <f t="shared" si="5"/>
        <v>1</v>
      </c>
      <c r="AG15" s="126">
        <f t="shared" si="5"/>
        <v>0</v>
      </c>
      <c r="AH15" s="127">
        <f t="shared" si="5"/>
        <v>1</v>
      </c>
      <c r="AI15" s="127">
        <f t="shared" si="5"/>
        <v>1</v>
      </c>
      <c r="AJ15" s="127">
        <f t="shared" si="5"/>
        <v>0</v>
      </c>
      <c r="AK15" s="127">
        <f t="shared" si="5"/>
        <v>0</v>
      </c>
      <c r="AL15" s="128">
        <f t="shared" si="5"/>
        <v>6</v>
      </c>
      <c r="AM15" s="128">
        <f t="shared" si="5"/>
        <v>5</v>
      </c>
      <c r="AN15" s="128">
        <f t="shared" si="5"/>
        <v>0</v>
      </c>
      <c r="AO15" s="128">
        <f t="shared" si="5"/>
        <v>1</v>
      </c>
    </row>
    <row r="16" spans="1:47" ht="14.95" customHeight="1" x14ac:dyDescent="0.25">
      <c r="A16" s="727" t="s">
        <v>53</v>
      </c>
      <c r="B16" s="687"/>
      <c r="C16" s="687"/>
      <c r="D16" s="687"/>
      <c r="E16" s="687"/>
      <c r="F16" s="687"/>
      <c r="G16" s="687"/>
      <c r="H16" s="687"/>
      <c r="I16" s="687"/>
      <c r="J16" s="687"/>
      <c r="K16" s="687"/>
      <c r="L16" s="687"/>
      <c r="M16" s="687"/>
      <c r="N16" s="687"/>
      <c r="O16" s="687"/>
      <c r="P16" s="687"/>
      <c r="Q16" s="687"/>
      <c r="R16" s="687"/>
      <c r="S16" s="687"/>
      <c r="T16" s="687"/>
      <c r="U16" s="687"/>
      <c r="V16" s="687"/>
      <c r="W16" s="687"/>
      <c r="X16" s="687"/>
      <c r="Y16" s="687"/>
      <c r="Z16" s="687"/>
      <c r="AA16" s="687"/>
      <c r="AB16" s="687"/>
      <c r="AC16" s="687"/>
      <c r="AD16" s="687"/>
      <c r="AE16" s="687"/>
      <c r="AF16" s="687"/>
      <c r="AG16" s="687"/>
      <c r="AH16" s="687"/>
      <c r="AI16" s="687"/>
      <c r="AJ16" s="687"/>
      <c r="AK16" s="687"/>
      <c r="AL16" s="687"/>
      <c r="AM16" s="687"/>
      <c r="AN16" s="687"/>
      <c r="AO16" s="687"/>
    </row>
    <row r="17" spans="1:41" ht="14.95" customHeight="1" x14ac:dyDescent="0.25">
      <c r="A17" s="410" t="s">
        <v>379</v>
      </c>
    </row>
    <row r="18" spans="1:41" ht="14.95" customHeight="1" x14ac:dyDescent="0.25">
      <c r="A18" t="s">
        <v>486</v>
      </c>
    </row>
    <row r="19" spans="1:41" ht="14.95" customHeight="1" x14ac:dyDescent="0.25">
      <c r="A19" t="s">
        <v>571</v>
      </c>
    </row>
    <row r="20" spans="1:41" ht="14.95" customHeight="1" x14ac:dyDescent="0.25">
      <c r="A20" s="727" t="s">
        <v>805</v>
      </c>
      <c r="B20" s="687"/>
      <c r="C20" s="687"/>
      <c r="D20" s="687"/>
      <c r="E20" s="687"/>
      <c r="F20" s="687"/>
      <c r="G20" s="687"/>
      <c r="H20" s="687"/>
      <c r="I20" s="687"/>
      <c r="J20" s="687"/>
      <c r="K20" s="687"/>
      <c r="L20" s="687"/>
      <c r="M20" s="687"/>
      <c r="N20" s="687"/>
      <c r="O20" s="687"/>
      <c r="P20" s="687"/>
      <c r="Q20" s="687"/>
      <c r="R20" s="687"/>
      <c r="S20" s="687"/>
      <c r="T20" s="687"/>
      <c r="U20" s="687"/>
      <c r="V20" s="687"/>
      <c r="W20" s="687"/>
      <c r="X20" s="687"/>
      <c r="Y20" s="687"/>
      <c r="Z20" s="687"/>
      <c r="AA20" s="687"/>
      <c r="AB20" s="687"/>
      <c r="AC20" s="687"/>
      <c r="AD20" s="687"/>
      <c r="AE20" s="687"/>
      <c r="AF20" s="687"/>
      <c r="AG20" s="687"/>
      <c r="AH20" s="687"/>
      <c r="AI20" s="687"/>
      <c r="AJ20" s="687"/>
      <c r="AK20" s="687"/>
      <c r="AL20" s="687"/>
      <c r="AM20" s="687"/>
      <c r="AN20" s="687"/>
      <c r="AO20" s="687"/>
    </row>
    <row r="21" spans="1:41" ht="14.95" customHeight="1" x14ac:dyDescent="0.25">
      <c r="A21" s="727" t="s">
        <v>806</v>
      </c>
      <c r="B21" s="687"/>
      <c r="C21" s="687"/>
      <c r="D21" s="687"/>
      <c r="E21" s="687"/>
      <c r="F21" s="687"/>
      <c r="G21" s="687"/>
      <c r="H21" s="687"/>
      <c r="I21" s="687"/>
      <c r="J21" s="687"/>
      <c r="K21" s="687"/>
      <c r="L21" s="687"/>
      <c r="M21" s="687"/>
      <c r="N21" s="687"/>
      <c r="O21" s="687"/>
      <c r="P21" s="687"/>
      <c r="Q21" s="687"/>
      <c r="R21" s="687"/>
    </row>
    <row r="22" spans="1:41" ht="14.95" customHeight="1" x14ac:dyDescent="0.25">
      <c r="A22" s="727" t="s">
        <v>823</v>
      </c>
      <c r="B22" s="687"/>
      <c r="C22" s="687"/>
      <c r="D22" s="687"/>
      <c r="E22" s="687"/>
      <c r="F22" s="687"/>
      <c r="G22" s="687"/>
      <c r="H22" s="687"/>
      <c r="I22" s="687"/>
      <c r="J22" s="687"/>
      <c r="K22" s="687"/>
      <c r="L22" s="687"/>
      <c r="M22" s="687"/>
      <c r="N22" s="687"/>
      <c r="O22" s="687"/>
      <c r="P22" s="687"/>
      <c r="Q22" s="687"/>
      <c r="R22" s="687"/>
    </row>
    <row r="23" spans="1:41" ht="14.95" customHeight="1" x14ac:dyDescent="0.25">
      <c r="A23" t="s">
        <v>171</v>
      </c>
    </row>
    <row r="24" spans="1:41" ht="14.95" customHeight="1" x14ac:dyDescent="0.25">
      <c r="A24" s="313"/>
      <c r="B24" s="73" t="s">
        <v>40</v>
      </c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</row>
    <row r="25" spans="1:41" ht="14.95" customHeight="1" x14ac:dyDescent="0.25">
      <c r="A25" s="314"/>
      <c r="B25" s="73" t="s">
        <v>38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</row>
    <row r="26" spans="1:41" x14ac:dyDescent="0.25">
      <c r="A26" s="315"/>
      <c r="B26" s="73" t="s">
        <v>39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</row>
    <row r="27" spans="1:41" ht="16.3" x14ac:dyDescent="0.3">
      <c r="A27" s="681" t="s">
        <v>28</v>
      </c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</row>
  </sheetData>
  <mergeCells count="17">
    <mergeCell ref="C14:E14"/>
    <mergeCell ref="A22:R22"/>
    <mergeCell ref="Z1:AC1"/>
    <mergeCell ref="AD1:AG1"/>
    <mergeCell ref="AH1:AK1"/>
    <mergeCell ref="A20:AO20"/>
    <mergeCell ref="A21:R21"/>
    <mergeCell ref="C15:E15"/>
    <mergeCell ref="A16:AO16"/>
    <mergeCell ref="AL1:AO1"/>
    <mergeCell ref="C13:E13"/>
    <mergeCell ref="A1:C1"/>
    <mergeCell ref="E1:G1"/>
    <mergeCell ref="H1:I1"/>
    <mergeCell ref="J1:M1"/>
    <mergeCell ref="N1:O1"/>
    <mergeCell ref="P1:R1"/>
  </mergeCells>
  <pageMargins left="0.7" right="0.7" top="0.75" bottom="0.75" header="0.3" footer="0.3"/>
  <pageSetup paperSize="9" orientation="portrait" r:id="rId1"/>
  <ignoredErrors>
    <ignoredError sqref="D14:E14 T14:X14 T13:AO13 F13:R13 F14:S14 S13 Y14:AO14" formulaRange="1"/>
    <ignoredError sqref="T11" twoDigitTextYear="1"/>
  </ignoredError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E51F5-1FFA-42EC-B298-10B326711905}">
  <dimension ref="A1:AU19"/>
  <sheetViews>
    <sheetView workbookViewId="0">
      <selection activeCell="A19" sqref="A19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125" customWidth="1"/>
    <col min="5" max="18" width="3.75" customWidth="1"/>
    <col min="19" max="19" width="6.625" customWidth="1"/>
    <col min="20" max="20" width="6.25" customWidth="1"/>
    <col min="21" max="21" width="21.625" bestFit="1" customWidth="1"/>
    <col min="22" max="22" width="17.375" bestFit="1" customWidth="1"/>
    <col min="23" max="23" width="21.875" bestFit="1" customWidth="1"/>
    <col min="24" max="24" width="18.5" bestFit="1" customWidth="1"/>
    <col min="25" max="25" width="24.375" bestFit="1" customWidth="1"/>
    <col min="26" max="41" width="3.75" customWidth="1"/>
    <col min="46" max="46" width="9.875" bestFit="1" customWidth="1"/>
  </cols>
  <sheetData>
    <row r="1" spans="1:47" ht="14.95" customHeight="1" thickBot="1" x14ac:dyDescent="0.3">
      <c r="A1" s="817" t="s">
        <v>453</v>
      </c>
      <c r="B1" s="818"/>
      <c r="C1" s="818"/>
      <c r="D1" s="495"/>
      <c r="E1" s="819" t="s">
        <v>24</v>
      </c>
      <c r="F1" s="820"/>
      <c r="G1" s="821"/>
      <c r="H1" s="819" t="s">
        <v>74</v>
      </c>
      <c r="I1" s="821"/>
      <c r="J1" s="814" t="s">
        <v>6</v>
      </c>
      <c r="K1" s="815"/>
      <c r="L1" s="815"/>
      <c r="M1" s="816"/>
      <c r="N1" s="814" t="s">
        <v>7</v>
      </c>
      <c r="O1" s="816"/>
      <c r="P1" s="814" t="s">
        <v>25</v>
      </c>
      <c r="Q1" s="815"/>
      <c r="R1" s="816"/>
      <c r="S1" s="551" t="s">
        <v>8</v>
      </c>
      <c r="T1" s="138" t="s">
        <v>9</v>
      </c>
      <c r="U1" s="140" t="s">
        <v>10</v>
      </c>
      <c r="V1" s="140" t="s">
        <v>11</v>
      </c>
      <c r="W1" s="140" t="s">
        <v>109</v>
      </c>
      <c r="X1" s="140" t="s">
        <v>26</v>
      </c>
      <c r="Y1" s="140" t="s">
        <v>27</v>
      </c>
      <c r="Z1" s="811" t="s">
        <v>20</v>
      </c>
      <c r="AA1" s="850"/>
      <c r="AB1" s="850"/>
      <c r="AC1" s="851"/>
      <c r="AD1" s="811" t="s">
        <v>56</v>
      </c>
      <c r="AE1" s="850"/>
      <c r="AF1" s="850"/>
      <c r="AG1" s="851"/>
      <c r="AH1" s="811" t="s">
        <v>57</v>
      </c>
      <c r="AI1" s="850"/>
      <c r="AJ1" s="850"/>
      <c r="AK1" s="851"/>
      <c r="AL1" s="811" t="s">
        <v>58</v>
      </c>
      <c r="AM1" s="850"/>
      <c r="AN1" s="850"/>
      <c r="AO1" s="851"/>
    </row>
    <row r="2" spans="1:47" ht="14.95" customHeight="1" thickBot="1" x14ac:dyDescent="0.3">
      <c r="A2" s="142" t="s">
        <v>19</v>
      </c>
      <c r="B2" s="143" t="s">
        <v>18</v>
      </c>
      <c r="C2" s="144" t="s">
        <v>17</v>
      </c>
      <c r="D2" s="144" t="s">
        <v>37</v>
      </c>
      <c r="E2" s="145" t="s">
        <v>16</v>
      </c>
      <c r="F2" s="145" t="s">
        <v>4</v>
      </c>
      <c r="G2" s="145" t="s">
        <v>5</v>
      </c>
      <c r="H2" s="146" t="s">
        <v>12</v>
      </c>
      <c r="I2" s="146" t="s">
        <v>3</v>
      </c>
      <c r="J2" s="146" t="s">
        <v>12</v>
      </c>
      <c r="K2" s="146" t="s">
        <v>13</v>
      </c>
      <c r="L2" s="146" t="s">
        <v>2</v>
      </c>
      <c r="M2" s="146" t="s">
        <v>14</v>
      </c>
      <c r="N2" s="146" t="s">
        <v>15</v>
      </c>
      <c r="O2" s="146" t="s">
        <v>16</v>
      </c>
      <c r="P2" s="146" t="s">
        <v>21</v>
      </c>
      <c r="Q2" s="146" t="s">
        <v>22</v>
      </c>
      <c r="R2" s="146" t="s">
        <v>12</v>
      </c>
      <c r="S2" s="636"/>
      <c r="T2" s="496"/>
      <c r="U2" s="497"/>
      <c r="V2" s="498"/>
      <c r="W2" s="498"/>
      <c r="X2" s="140"/>
      <c r="Y2" s="499"/>
      <c r="Z2" s="151" t="s">
        <v>0</v>
      </c>
      <c r="AA2" s="151" t="s">
        <v>1</v>
      </c>
      <c r="AB2" s="151" t="s">
        <v>2</v>
      </c>
      <c r="AC2" s="151" t="s">
        <v>3</v>
      </c>
      <c r="AD2" s="151" t="s">
        <v>0</v>
      </c>
      <c r="AE2" s="151" t="s">
        <v>1</v>
      </c>
      <c r="AF2" s="151" t="s">
        <v>2</v>
      </c>
      <c r="AG2" s="151" t="s">
        <v>3</v>
      </c>
      <c r="AH2" s="151" t="s">
        <v>0</v>
      </c>
      <c r="AI2" s="151" t="s">
        <v>1</v>
      </c>
      <c r="AJ2" s="151" t="s">
        <v>2</v>
      </c>
      <c r="AK2" s="151" t="s">
        <v>3</v>
      </c>
      <c r="AL2" s="151" t="s">
        <v>0</v>
      </c>
      <c r="AM2" s="151" t="s">
        <v>1</v>
      </c>
      <c r="AN2" s="151" t="s">
        <v>2</v>
      </c>
      <c r="AO2" s="151" t="s">
        <v>3</v>
      </c>
      <c r="AT2" s="73" t="s">
        <v>508</v>
      </c>
    </row>
    <row r="3" spans="1:47" ht="14.95" customHeight="1" thickBot="1" x14ac:dyDescent="0.35">
      <c r="A3" s="187" t="s">
        <v>454</v>
      </c>
      <c r="B3" s="188" t="s">
        <v>428</v>
      </c>
      <c r="C3" s="188" t="s">
        <v>415</v>
      </c>
      <c r="D3" s="188" t="s">
        <v>429</v>
      </c>
      <c r="E3" s="184" t="s">
        <v>1</v>
      </c>
      <c r="F3" s="184">
        <v>64</v>
      </c>
      <c r="G3" s="184">
        <v>14</v>
      </c>
      <c r="H3" s="373">
        <v>1</v>
      </c>
      <c r="I3" s="373">
        <v>0</v>
      </c>
      <c r="J3" s="373">
        <v>10</v>
      </c>
      <c r="K3" s="373">
        <v>6</v>
      </c>
      <c r="L3" s="373">
        <v>0</v>
      </c>
      <c r="M3" s="373">
        <v>0</v>
      </c>
      <c r="N3" s="373">
        <v>0</v>
      </c>
      <c r="O3" s="373">
        <v>0</v>
      </c>
      <c r="P3" s="373">
        <v>0</v>
      </c>
      <c r="Q3" s="373">
        <v>0</v>
      </c>
      <c r="R3" s="373">
        <v>2</v>
      </c>
      <c r="S3" s="637"/>
      <c r="T3" s="192" t="s">
        <v>455</v>
      </c>
      <c r="U3" s="190" t="s">
        <v>456</v>
      </c>
      <c r="V3" s="189" t="s">
        <v>100</v>
      </c>
      <c r="W3" s="189" t="s">
        <v>100</v>
      </c>
      <c r="X3" s="186" t="s">
        <v>457</v>
      </c>
      <c r="Y3" s="191" t="s">
        <v>458</v>
      </c>
      <c r="Z3" s="186">
        <v>1</v>
      </c>
      <c r="AA3" s="186">
        <v>1</v>
      </c>
      <c r="AB3" s="186">
        <v>0</v>
      </c>
      <c r="AC3" s="341">
        <v>0</v>
      </c>
      <c r="AD3" s="186">
        <v>0</v>
      </c>
      <c r="AE3" s="186">
        <v>0</v>
      </c>
      <c r="AF3" s="186">
        <v>0</v>
      </c>
      <c r="AG3" s="341">
        <v>0</v>
      </c>
      <c r="AH3" s="186">
        <v>0</v>
      </c>
      <c r="AI3" s="186">
        <v>0</v>
      </c>
      <c r="AJ3" s="186">
        <v>0</v>
      </c>
      <c r="AK3" s="341">
        <v>0</v>
      </c>
      <c r="AL3" s="186">
        <v>1</v>
      </c>
      <c r="AM3" s="186">
        <v>1</v>
      </c>
      <c r="AN3" s="186">
        <v>0</v>
      </c>
      <c r="AO3" s="341">
        <v>0</v>
      </c>
      <c r="AT3" s="515" t="s">
        <v>503</v>
      </c>
      <c r="AU3" s="516">
        <v>17</v>
      </c>
    </row>
    <row r="4" spans="1:47" ht="14.95" customHeight="1" thickBot="1" x14ac:dyDescent="0.3">
      <c r="A4" s="155" t="s">
        <v>445</v>
      </c>
      <c r="B4" s="157" t="s">
        <v>428</v>
      </c>
      <c r="C4" s="157" t="s">
        <v>166</v>
      </c>
      <c r="D4" s="157" t="s">
        <v>429</v>
      </c>
      <c r="E4" s="158" t="s">
        <v>3</v>
      </c>
      <c r="F4" s="158">
        <v>20</v>
      </c>
      <c r="G4" s="158">
        <v>24</v>
      </c>
      <c r="H4" s="375">
        <v>1</v>
      </c>
      <c r="I4" s="375">
        <v>1</v>
      </c>
      <c r="J4" s="375">
        <v>4</v>
      </c>
      <c r="K4" s="375">
        <v>0</v>
      </c>
      <c r="L4" s="375">
        <v>0</v>
      </c>
      <c r="M4" s="375">
        <v>0</v>
      </c>
      <c r="N4" s="375">
        <v>2</v>
      </c>
      <c r="O4" s="375">
        <v>0</v>
      </c>
      <c r="P4" s="375">
        <v>1</v>
      </c>
      <c r="Q4" s="375">
        <v>0</v>
      </c>
      <c r="R4" s="375">
        <v>4</v>
      </c>
      <c r="S4" s="632"/>
      <c r="T4" s="166" t="s">
        <v>177</v>
      </c>
      <c r="U4" s="159" t="s">
        <v>431</v>
      </c>
      <c r="V4" s="162" t="s">
        <v>100</v>
      </c>
      <c r="W4" s="162" t="s">
        <v>100</v>
      </c>
      <c r="X4" s="159" t="s">
        <v>432</v>
      </c>
      <c r="Y4" s="165" t="s">
        <v>461</v>
      </c>
      <c r="Z4" s="159">
        <v>1</v>
      </c>
      <c r="AA4" s="159">
        <v>0</v>
      </c>
      <c r="AB4" s="159">
        <v>0</v>
      </c>
      <c r="AC4" s="523">
        <v>1</v>
      </c>
      <c r="AD4" s="159">
        <v>0</v>
      </c>
      <c r="AE4" s="159">
        <v>0</v>
      </c>
      <c r="AF4" s="159">
        <v>0</v>
      </c>
      <c r="AG4" s="523">
        <v>0</v>
      </c>
      <c r="AH4" s="159">
        <v>1</v>
      </c>
      <c r="AI4" s="159">
        <v>0</v>
      </c>
      <c r="AJ4" s="159">
        <v>0</v>
      </c>
      <c r="AK4" s="523">
        <v>1</v>
      </c>
      <c r="AL4" s="159">
        <v>0</v>
      </c>
      <c r="AM4" s="159">
        <v>0</v>
      </c>
      <c r="AN4" s="159">
        <v>0</v>
      </c>
      <c r="AO4" s="523">
        <v>0</v>
      </c>
      <c r="AT4" s="517" t="s">
        <v>504</v>
      </c>
      <c r="AU4" s="518">
        <v>6</v>
      </c>
    </row>
    <row r="5" spans="1:47" ht="14.95" customHeight="1" thickBot="1" x14ac:dyDescent="0.3">
      <c r="A5" s="187" t="s">
        <v>240</v>
      </c>
      <c r="B5" s="188" t="s">
        <v>231</v>
      </c>
      <c r="C5" s="188" t="s">
        <v>29</v>
      </c>
      <c r="D5" s="188" t="s">
        <v>246</v>
      </c>
      <c r="E5" s="184" t="s">
        <v>3</v>
      </c>
      <c r="F5" s="184">
        <v>0</v>
      </c>
      <c r="G5" s="184">
        <v>73</v>
      </c>
      <c r="H5" s="373">
        <v>0</v>
      </c>
      <c r="I5" s="373">
        <v>0</v>
      </c>
      <c r="J5" s="373">
        <v>0</v>
      </c>
      <c r="K5" s="373">
        <v>0</v>
      </c>
      <c r="L5" s="373">
        <v>0</v>
      </c>
      <c r="M5" s="373">
        <v>0</v>
      </c>
      <c r="N5" s="373">
        <v>1</v>
      </c>
      <c r="O5" s="610">
        <v>1</v>
      </c>
      <c r="P5" s="373">
        <v>1</v>
      </c>
      <c r="Q5" s="373">
        <v>0</v>
      </c>
      <c r="R5" s="373">
        <v>11</v>
      </c>
      <c r="S5" s="637">
        <v>10054</v>
      </c>
      <c r="T5" s="198" t="s">
        <v>664</v>
      </c>
      <c r="U5" s="190" t="s">
        <v>272</v>
      </c>
      <c r="V5" s="189" t="s">
        <v>136</v>
      </c>
      <c r="W5" s="189" t="s">
        <v>139</v>
      </c>
      <c r="X5" s="191" t="s">
        <v>128</v>
      </c>
      <c r="Y5" s="186" t="s">
        <v>154</v>
      </c>
      <c r="Z5" s="186">
        <v>1</v>
      </c>
      <c r="AA5" s="186">
        <v>0</v>
      </c>
      <c r="AB5" s="341">
        <v>0</v>
      </c>
      <c r="AC5" s="186">
        <v>1</v>
      </c>
      <c r="AD5" s="186">
        <v>0</v>
      </c>
      <c r="AE5" s="186">
        <v>0</v>
      </c>
      <c r="AF5" s="186">
        <v>0</v>
      </c>
      <c r="AG5" s="341">
        <v>0</v>
      </c>
      <c r="AH5" s="186">
        <v>0</v>
      </c>
      <c r="AI5" s="186">
        <v>0</v>
      </c>
      <c r="AJ5" s="186">
        <v>0</v>
      </c>
      <c r="AK5" s="341">
        <v>0</v>
      </c>
      <c r="AL5" s="186">
        <v>1</v>
      </c>
      <c r="AM5" s="186">
        <v>0</v>
      </c>
      <c r="AN5" s="186">
        <v>0</v>
      </c>
      <c r="AO5" s="341">
        <v>1</v>
      </c>
      <c r="AT5" s="517" t="s">
        <v>505</v>
      </c>
      <c r="AU5" s="518">
        <v>0</v>
      </c>
    </row>
    <row r="6" spans="1:47" ht="14.95" customHeight="1" thickBot="1" x14ac:dyDescent="0.3">
      <c r="A6" s="155" t="s">
        <v>234</v>
      </c>
      <c r="B6" s="157" t="s">
        <v>231</v>
      </c>
      <c r="C6" s="157" t="s">
        <v>30</v>
      </c>
      <c r="D6" s="157" t="s">
        <v>235</v>
      </c>
      <c r="E6" s="158" t="s">
        <v>3</v>
      </c>
      <c r="F6" s="158">
        <v>3</v>
      </c>
      <c r="G6" s="158">
        <v>92</v>
      </c>
      <c r="H6" s="375">
        <v>0</v>
      </c>
      <c r="I6" s="375">
        <v>0</v>
      </c>
      <c r="J6" s="375">
        <v>0</v>
      </c>
      <c r="K6" s="375">
        <v>0</v>
      </c>
      <c r="L6" s="375">
        <v>0</v>
      </c>
      <c r="M6" s="375">
        <v>1</v>
      </c>
      <c r="N6" s="375">
        <v>0</v>
      </c>
      <c r="O6" s="375">
        <v>0</v>
      </c>
      <c r="P6" s="375">
        <v>0</v>
      </c>
      <c r="Q6" s="375">
        <v>0</v>
      </c>
      <c r="R6" s="375">
        <v>14</v>
      </c>
      <c r="S6" s="632">
        <v>13615</v>
      </c>
      <c r="T6" s="166" t="s">
        <v>716</v>
      </c>
      <c r="U6" s="164" t="s">
        <v>144</v>
      </c>
      <c r="V6" s="162" t="s">
        <v>136</v>
      </c>
      <c r="W6" s="162" t="s">
        <v>111</v>
      </c>
      <c r="X6" s="165" t="s">
        <v>114</v>
      </c>
      <c r="Y6" s="159" t="s">
        <v>132</v>
      </c>
      <c r="Z6" s="159">
        <v>1</v>
      </c>
      <c r="AA6" s="159">
        <v>0</v>
      </c>
      <c r="AB6" s="523">
        <v>0</v>
      </c>
      <c r="AC6" s="523">
        <v>1</v>
      </c>
      <c r="AD6" s="159">
        <v>0</v>
      </c>
      <c r="AE6" s="159">
        <v>0</v>
      </c>
      <c r="AF6" s="159">
        <v>0</v>
      </c>
      <c r="AG6" s="523">
        <v>0</v>
      </c>
      <c r="AH6" s="159">
        <v>1</v>
      </c>
      <c r="AI6" s="159">
        <v>0</v>
      </c>
      <c r="AJ6" s="159">
        <v>0</v>
      </c>
      <c r="AK6" s="523">
        <v>1</v>
      </c>
      <c r="AL6" s="159">
        <v>0</v>
      </c>
      <c r="AM6" s="159">
        <v>0</v>
      </c>
      <c r="AN6" s="159">
        <v>0</v>
      </c>
      <c r="AO6" s="523">
        <v>0</v>
      </c>
      <c r="AT6" s="517" t="s">
        <v>506</v>
      </c>
      <c r="AU6" s="518">
        <v>11</v>
      </c>
    </row>
    <row r="7" spans="1:47" ht="14.95" customHeight="1" thickBot="1" x14ac:dyDescent="0.3">
      <c r="A7" s="187" t="s">
        <v>172</v>
      </c>
      <c r="B7" s="188" t="s">
        <v>231</v>
      </c>
      <c r="C7" s="188" t="s">
        <v>55</v>
      </c>
      <c r="D7" s="188" t="s">
        <v>206</v>
      </c>
      <c r="E7" s="184" t="s">
        <v>3</v>
      </c>
      <c r="F7" s="184">
        <v>0</v>
      </c>
      <c r="G7" s="184">
        <v>60</v>
      </c>
      <c r="H7" s="373">
        <v>0</v>
      </c>
      <c r="I7" s="373">
        <v>0</v>
      </c>
      <c r="J7" s="373">
        <v>0</v>
      </c>
      <c r="K7" s="373">
        <v>0</v>
      </c>
      <c r="L7" s="373">
        <v>0</v>
      </c>
      <c r="M7" s="373">
        <v>0</v>
      </c>
      <c r="N7" s="373">
        <v>0</v>
      </c>
      <c r="O7" s="373">
        <v>0</v>
      </c>
      <c r="P7" s="373">
        <v>1</v>
      </c>
      <c r="Q7" s="373">
        <v>0</v>
      </c>
      <c r="R7" s="373">
        <v>10</v>
      </c>
      <c r="S7" s="373"/>
      <c r="T7" s="198" t="s">
        <v>774</v>
      </c>
      <c r="U7" s="189" t="s">
        <v>145</v>
      </c>
      <c r="V7" s="189" t="s">
        <v>110</v>
      </c>
      <c r="W7" s="189" t="s">
        <v>136</v>
      </c>
      <c r="X7" s="186" t="s">
        <v>773</v>
      </c>
      <c r="Y7" s="203" t="s">
        <v>132</v>
      </c>
      <c r="Z7" s="186">
        <v>1</v>
      </c>
      <c r="AA7" s="186">
        <v>0</v>
      </c>
      <c r="AB7" s="186">
        <v>0</v>
      </c>
      <c r="AC7" s="341">
        <v>1</v>
      </c>
      <c r="AD7" s="186">
        <v>0</v>
      </c>
      <c r="AE7" s="186">
        <v>0</v>
      </c>
      <c r="AF7" s="186">
        <v>0</v>
      </c>
      <c r="AG7" s="341">
        <v>0</v>
      </c>
      <c r="AH7" s="186">
        <v>0</v>
      </c>
      <c r="AI7" s="186">
        <v>0</v>
      </c>
      <c r="AJ7" s="186">
        <v>0</v>
      </c>
      <c r="AK7" s="341">
        <v>0</v>
      </c>
      <c r="AL7" s="186">
        <v>1</v>
      </c>
      <c r="AM7" s="186">
        <v>0</v>
      </c>
      <c r="AN7" s="186">
        <v>0</v>
      </c>
      <c r="AO7" s="341">
        <v>1</v>
      </c>
      <c r="AT7" s="517" t="s">
        <v>507</v>
      </c>
      <c r="AU7" s="518">
        <v>224</v>
      </c>
    </row>
    <row r="8" spans="1:47" ht="14.95" customHeight="1" thickBot="1" x14ac:dyDescent="0.3">
      <c r="A8" s="349"/>
      <c r="B8" s="60"/>
      <c r="C8" s="833" t="s">
        <v>93</v>
      </c>
      <c r="D8" s="834"/>
      <c r="E8" s="835"/>
      <c r="F8" s="184">
        <f t="shared" ref="F8:R8" si="0">SUM(F3:F4)</f>
        <v>84</v>
      </c>
      <c r="G8" s="184">
        <f t="shared" si="0"/>
        <v>38</v>
      </c>
      <c r="H8" s="184">
        <f t="shared" si="0"/>
        <v>2</v>
      </c>
      <c r="I8" s="184">
        <f t="shared" si="0"/>
        <v>1</v>
      </c>
      <c r="J8" s="184">
        <f t="shared" si="0"/>
        <v>14</v>
      </c>
      <c r="K8" s="184">
        <f t="shared" si="0"/>
        <v>6</v>
      </c>
      <c r="L8" s="184">
        <f t="shared" si="0"/>
        <v>0</v>
      </c>
      <c r="M8" s="184">
        <f t="shared" si="0"/>
        <v>0</v>
      </c>
      <c r="N8" s="184">
        <f t="shared" si="0"/>
        <v>2</v>
      </c>
      <c r="O8" s="184">
        <f t="shared" si="0"/>
        <v>0</v>
      </c>
      <c r="P8" s="184">
        <f t="shared" si="0"/>
        <v>1</v>
      </c>
      <c r="Q8" s="184">
        <f t="shared" si="0"/>
        <v>0</v>
      </c>
      <c r="R8" s="184">
        <f t="shared" si="0"/>
        <v>6</v>
      </c>
      <c r="S8" s="635"/>
      <c r="T8" s="384"/>
      <c r="U8" s="385"/>
      <c r="V8" s="385"/>
      <c r="W8" s="385"/>
      <c r="X8" s="386"/>
      <c r="Y8" s="352" t="s">
        <v>93</v>
      </c>
      <c r="Z8" s="350">
        <f t="shared" ref="Z8:AO8" si="1">SUM(Z3:Z4)</f>
        <v>2</v>
      </c>
      <c r="AA8" s="350">
        <f t="shared" si="1"/>
        <v>1</v>
      </c>
      <c r="AB8" s="350">
        <f t="shared" si="1"/>
        <v>0</v>
      </c>
      <c r="AC8" s="351">
        <f t="shared" si="1"/>
        <v>1</v>
      </c>
      <c r="AD8" s="353">
        <f t="shared" si="1"/>
        <v>0</v>
      </c>
      <c r="AE8" s="353">
        <f t="shared" si="1"/>
        <v>0</v>
      </c>
      <c r="AF8" s="353">
        <f t="shared" si="1"/>
        <v>0</v>
      </c>
      <c r="AG8" s="354">
        <f t="shared" si="1"/>
        <v>0</v>
      </c>
      <c r="AH8" s="355">
        <f t="shared" si="1"/>
        <v>1</v>
      </c>
      <c r="AI8" s="355">
        <f t="shared" si="1"/>
        <v>0</v>
      </c>
      <c r="AJ8" s="355">
        <f t="shared" si="1"/>
        <v>0</v>
      </c>
      <c r="AK8" s="356">
        <f t="shared" si="1"/>
        <v>1</v>
      </c>
      <c r="AL8" s="350">
        <f t="shared" si="1"/>
        <v>1</v>
      </c>
      <c r="AM8" s="350">
        <f t="shared" si="1"/>
        <v>1</v>
      </c>
      <c r="AN8" s="350">
        <f t="shared" si="1"/>
        <v>0</v>
      </c>
      <c r="AO8" s="351">
        <f t="shared" si="1"/>
        <v>0</v>
      </c>
    </row>
    <row r="9" spans="1:47" ht="14.95" customHeight="1" thickBot="1" x14ac:dyDescent="0.3">
      <c r="A9" s="104"/>
      <c r="B9" s="105"/>
      <c r="C9" s="731" t="s">
        <v>237</v>
      </c>
      <c r="D9" s="732"/>
      <c r="E9" s="733"/>
      <c r="F9" s="467">
        <f>SUM(F5:F7)</f>
        <v>3</v>
      </c>
      <c r="G9" s="467">
        <f t="shared" ref="G9:R9" si="2">SUM(G5:G7)</f>
        <v>225</v>
      </c>
      <c r="H9" s="467">
        <f t="shared" si="2"/>
        <v>0</v>
      </c>
      <c r="I9" s="467">
        <f t="shared" si="2"/>
        <v>0</v>
      </c>
      <c r="J9" s="467">
        <f t="shared" si="2"/>
        <v>0</v>
      </c>
      <c r="K9" s="467">
        <f t="shared" si="2"/>
        <v>0</v>
      </c>
      <c r="L9" s="467">
        <f t="shared" si="2"/>
        <v>0</v>
      </c>
      <c r="M9" s="467">
        <f t="shared" si="2"/>
        <v>1</v>
      </c>
      <c r="N9" s="467">
        <f t="shared" si="2"/>
        <v>1</v>
      </c>
      <c r="O9" s="467">
        <f t="shared" si="2"/>
        <v>1</v>
      </c>
      <c r="P9" s="467">
        <f t="shared" si="2"/>
        <v>2</v>
      </c>
      <c r="Q9" s="467">
        <f t="shared" si="2"/>
        <v>0</v>
      </c>
      <c r="R9" s="467">
        <f t="shared" si="2"/>
        <v>35</v>
      </c>
      <c r="S9" s="634"/>
      <c r="T9" s="458"/>
      <c r="U9" s="458"/>
      <c r="V9" s="458"/>
      <c r="W9" s="458"/>
      <c r="X9" s="468"/>
      <c r="Y9" s="460" t="s">
        <v>237</v>
      </c>
      <c r="Z9" s="467">
        <f t="shared" ref="Z9:AO9" si="3">SUM(Z5:Z7)</f>
        <v>3</v>
      </c>
      <c r="AA9" s="467">
        <f t="shared" si="3"/>
        <v>0</v>
      </c>
      <c r="AB9" s="467">
        <f t="shared" si="3"/>
        <v>0</v>
      </c>
      <c r="AC9" s="467">
        <f t="shared" si="3"/>
        <v>3</v>
      </c>
      <c r="AD9" s="469">
        <f t="shared" si="3"/>
        <v>0</v>
      </c>
      <c r="AE9" s="469">
        <f t="shared" si="3"/>
        <v>0</v>
      </c>
      <c r="AF9" s="469">
        <f t="shared" si="3"/>
        <v>0</v>
      </c>
      <c r="AG9" s="469">
        <f t="shared" si="3"/>
        <v>0</v>
      </c>
      <c r="AH9" s="470">
        <f t="shared" si="3"/>
        <v>1</v>
      </c>
      <c r="AI9" s="470">
        <f t="shared" si="3"/>
        <v>0</v>
      </c>
      <c r="AJ9" s="470">
        <f t="shared" si="3"/>
        <v>0</v>
      </c>
      <c r="AK9" s="470">
        <f t="shared" si="3"/>
        <v>1</v>
      </c>
      <c r="AL9" s="467">
        <f t="shared" si="3"/>
        <v>2</v>
      </c>
      <c r="AM9" s="467">
        <f t="shared" si="3"/>
        <v>0</v>
      </c>
      <c r="AN9" s="467">
        <f t="shared" si="3"/>
        <v>0</v>
      </c>
      <c r="AO9" s="467">
        <f t="shared" si="3"/>
        <v>2</v>
      </c>
    </row>
    <row r="10" spans="1:47" ht="14.95" customHeight="1" thickBot="1" x14ac:dyDescent="0.3">
      <c r="A10" s="104"/>
      <c r="B10" s="105"/>
      <c r="C10" s="728" t="s">
        <v>70</v>
      </c>
      <c r="D10" s="729"/>
      <c r="E10" s="730"/>
      <c r="F10" s="128">
        <f t="shared" ref="F10:R10" si="4">SUM(F3:F7)</f>
        <v>87</v>
      </c>
      <c r="G10" s="128">
        <f t="shared" si="4"/>
        <v>263</v>
      </c>
      <c r="H10" s="128">
        <f t="shared" si="4"/>
        <v>2</v>
      </c>
      <c r="I10" s="128">
        <f t="shared" si="4"/>
        <v>1</v>
      </c>
      <c r="J10" s="128">
        <f t="shared" si="4"/>
        <v>14</v>
      </c>
      <c r="K10" s="128">
        <f t="shared" si="4"/>
        <v>6</v>
      </c>
      <c r="L10" s="128">
        <f t="shared" si="4"/>
        <v>0</v>
      </c>
      <c r="M10" s="128">
        <f t="shared" si="4"/>
        <v>1</v>
      </c>
      <c r="N10" s="128">
        <f t="shared" si="4"/>
        <v>3</v>
      </c>
      <c r="O10" s="128">
        <f t="shared" si="4"/>
        <v>1</v>
      </c>
      <c r="P10" s="128">
        <f t="shared" si="4"/>
        <v>3</v>
      </c>
      <c r="Q10" s="128">
        <f t="shared" si="4"/>
        <v>0</v>
      </c>
      <c r="R10" s="128">
        <f t="shared" si="4"/>
        <v>41</v>
      </c>
      <c r="S10" s="635"/>
      <c r="T10" s="197"/>
      <c r="U10" s="197"/>
      <c r="V10" s="197"/>
      <c r="W10" s="197"/>
      <c r="X10" s="12"/>
      <c r="Y10" s="133" t="s">
        <v>70</v>
      </c>
      <c r="Z10" s="128">
        <f t="shared" ref="Z10:AO10" si="5">SUM(Z3:Z7)</f>
        <v>5</v>
      </c>
      <c r="AA10" s="128">
        <f t="shared" si="5"/>
        <v>1</v>
      </c>
      <c r="AB10" s="128">
        <f t="shared" si="5"/>
        <v>0</v>
      </c>
      <c r="AC10" s="128">
        <f t="shared" si="5"/>
        <v>4</v>
      </c>
      <c r="AD10" s="126">
        <f t="shared" si="5"/>
        <v>0</v>
      </c>
      <c r="AE10" s="126">
        <f t="shared" si="5"/>
        <v>0</v>
      </c>
      <c r="AF10" s="126">
        <f t="shared" si="5"/>
        <v>0</v>
      </c>
      <c r="AG10" s="126">
        <f t="shared" si="5"/>
        <v>0</v>
      </c>
      <c r="AH10" s="127">
        <f t="shared" si="5"/>
        <v>2</v>
      </c>
      <c r="AI10" s="127">
        <f t="shared" si="5"/>
        <v>0</v>
      </c>
      <c r="AJ10" s="127">
        <f t="shared" si="5"/>
        <v>0</v>
      </c>
      <c r="AK10" s="127">
        <f t="shared" si="5"/>
        <v>2</v>
      </c>
      <c r="AL10" s="128">
        <f t="shared" si="5"/>
        <v>3</v>
      </c>
      <c r="AM10" s="128">
        <f t="shared" si="5"/>
        <v>1</v>
      </c>
      <c r="AN10" s="128">
        <f t="shared" si="5"/>
        <v>0</v>
      </c>
      <c r="AO10" s="128">
        <f t="shared" si="5"/>
        <v>2</v>
      </c>
    </row>
    <row r="11" spans="1:47" ht="14.95" customHeight="1" x14ac:dyDescent="0.25">
      <c r="A11" s="727" t="s">
        <v>53</v>
      </c>
      <c r="B11" s="687"/>
      <c r="C11" s="687"/>
      <c r="D11" s="687"/>
      <c r="E11" s="687"/>
      <c r="F11" s="687"/>
      <c r="G11" s="687"/>
      <c r="H11" s="687"/>
      <c r="I11" s="687"/>
      <c r="J11" s="687"/>
      <c r="K11" s="687"/>
      <c r="L11" s="687"/>
      <c r="M11" s="687"/>
      <c r="N11" s="687"/>
      <c r="O11" s="687"/>
      <c r="P11" s="687"/>
      <c r="Q11" s="687"/>
      <c r="R11" s="687"/>
      <c r="S11" s="687"/>
      <c r="T11" s="687"/>
      <c r="U11" s="687"/>
      <c r="V11" s="687"/>
      <c r="W11" s="687"/>
      <c r="X11" s="687"/>
      <c r="Y11" s="687"/>
      <c r="Z11" s="687"/>
      <c r="AA11" s="687"/>
      <c r="AB11" s="687"/>
      <c r="AC11" s="687"/>
      <c r="AD11" s="687"/>
      <c r="AE11" s="687"/>
      <c r="AF11" s="687"/>
      <c r="AG11" s="687"/>
      <c r="AH11" s="687"/>
      <c r="AI11" s="687"/>
      <c r="AJ11" s="687"/>
      <c r="AK11" s="687"/>
      <c r="AL11" s="687"/>
      <c r="AM11" s="687"/>
      <c r="AN11" s="687"/>
      <c r="AO11" s="687"/>
    </row>
    <row r="12" spans="1:47" ht="14.95" customHeight="1" x14ac:dyDescent="0.25">
      <c r="A12" s="538" t="s">
        <v>572</v>
      </c>
    </row>
    <row r="13" spans="1:47" ht="14.95" customHeight="1" x14ac:dyDescent="0.25">
      <c r="A13" t="s">
        <v>573</v>
      </c>
    </row>
    <row r="14" spans="1:47" x14ac:dyDescent="0.25">
      <c r="A14" s="727" t="s">
        <v>759</v>
      </c>
      <c r="B14" s="687"/>
      <c r="C14" s="687"/>
      <c r="D14" s="687"/>
      <c r="E14" s="687"/>
      <c r="F14" s="687"/>
      <c r="G14" s="687"/>
      <c r="H14" s="687"/>
      <c r="I14" s="687"/>
      <c r="J14" s="687"/>
      <c r="K14" s="687"/>
      <c r="L14" s="687"/>
      <c r="M14" s="687"/>
      <c r="N14" s="687"/>
      <c r="O14" s="687"/>
      <c r="P14" s="687"/>
      <c r="Q14" s="687"/>
      <c r="R14" s="687"/>
      <c r="S14" s="687"/>
      <c r="T14" s="687"/>
      <c r="U14" s="687"/>
      <c r="V14" s="687"/>
      <c r="W14" s="687"/>
      <c r="X14" s="687"/>
      <c r="Y14" s="687"/>
      <c r="Z14" s="687"/>
      <c r="AA14" s="687"/>
      <c r="AB14" s="687"/>
      <c r="AC14" s="687"/>
      <c r="AD14" s="687"/>
      <c r="AE14" s="687"/>
      <c r="AF14" s="687"/>
      <c r="AG14" s="687"/>
      <c r="AH14" s="687"/>
      <c r="AI14" s="687"/>
      <c r="AJ14" s="687"/>
      <c r="AK14" s="687"/>
      <c r="AL14" s="687"/>
      <c r="AM14" s="687"/>
      <c r="AN14" s="687"/>
      <c r="AO14" s="687"/>
    </row>
    <row r="15" spans="1:47" x14ac:dyDescent="0.25">
      <c r="A15" t="s">
        <v>459</v>
      </c>
    </row>
    <row r="16" spans="1:47" x14ac:dyDescent="0.25">
      <c r="A16" s="313"/>
      <c r="B16" s="73" t="s">
        <v>40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</row>
    <row r="17" spans="1:41" x14ac:dyDescent="0.25">
      <c r="A17" s="314"/>
      <c r="B17" s="73" t="s">
        <v>38</v>
      </c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</row>
    <row r="18" spans="1:41" x14ac:dyDescent="0.25">
      <c r="A18" s="315"/>
      <c r="B18" s="73" t="s">
        <v>39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</row>
    <row r="19" spans="1:41" ht="16.3" x14ac:dyDescent="0.3">
      <c r="A19" s="681" t="s">
        <v>28</v>
      </c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</row>
  </sheetData>
  <mergeCells count="15">
    <mergeCell ref="A14:AO14"/>
    <mergeCell ref="C10:E10"/>
    <mergeCell ref="A11:AO11"/>
    <mergeCell ref="Z1:AC1"/>
    <mergeCell ref="AD1:AG1"/>
    <mergeCell ref="AH1:AK1"/>
    <mergeCell ref="AL1:AO1"/>
    <mergeCell ref="C8:E8"/>
    <mergeCell ref="C9:E9"/>
    <mergeCell ref="A1:C1"/>
    <mergeCell ref="E1:G1"/>
    <mergeCell ref="H1:I1"/>
    <mergeCell ref="J1:M1"/>
    <mergeCell ref="N1:O1"/>
    <mergeCell ref="P1:R1"/>
  </mergeCells>
  <pageMargins left="0.7" right="0.7" top="0.75" bottom="0.75" header="0.3" footer="0.3"/>
  <ignoredErrors>
    <ignoredError sqref="T4" twoDigitTextYear="1"/>
    <ignoredError sqref="T9:AO9 T8:AO8 F8:R8 F9:R9" formulaRange="1"/>
  </ignoredErrors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U27"/>
  <sheetViews>
    <sheetView workbookViewId="0">
      <selection activeCell="A27" sqref="A27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5" bestFit="1" customWidth="1"/>
    <col min="5" max="18" width="3.75" customWidth="1"/>
    <col min="19" max="20" width="6.25" customWidth="1"/>
    <col min="21" max="21" width="23.625" bestFit="1" customWidth="1"/>
    <col min="22" max="22" width="22.25" bestFit="1" customWidth="1"/>
    <col min="23" max="23" width="17.375" bestFit="1" customWidth="1"/>
    <col min="24" max="24" width="17.625" bestFit="1" customWidth="1"/>
    <col min="25" max="25" width="24.375" bestFit="1" customWidth="1"/>
    <col min="26" max="41" width="3.75" customWidth="1"/>
    <col min="46" max="46" width="9.875" bestFit="1" customWidth="1"/>
  </cols>
  <sheetData>
    <row r="1" spans="1:47" ht="14.95" customHeight="1" thickBot="1" x14ac:dyDescent="0.3">
      <c r="A1" s="795" t="s">
        <v>204</v>
      </c>
      <c r="B1" s="796"/>
      <c r="C1" s="796"/>
      <c r="D1" s="44"/>
      <c r="E1" s="797" t="s">
        <v>24</v>
      </c>
      <c r="F1" s="798"/>
      <c r="G1" s="799"/>
      <c r="H1" s="797" t="s">
        <v>23</v>
      </c>
      <c r="I1" s="799"/>
      <c r="J1" s="792" t="s">
        <v>6</v>
      </c>
      <c r="K1" s="794"/>
      <c r="L1" s="794"/>
      <c r="M1" s="793"/>
      <c r="N1" s="792" t="s">
        <v>7</v>
      </c>
      <c r="O1" s="793"/>
      <c r="P1" s="792" t="s">
        <v>25</v>
      </c>
      <c r="Q1" s="794"/>
      <c r="R1" s="793"/>
      <c r="S1" s="132" t="s">
        <v>8</v>
      </c>
      <c r="T1" s="132" t="s">
        <v>9</v>
      </c>
      <c r="U1" s="31" t="s">
        <v>10</v>
      </c>
      <c r="V1" s="30" t="s">
        <v>11</v>
      </c>
      <c r="W1" s="31" t="s">
        <v>109</v>
      </c>
      <c r="X1" s="32" t="s">
        <v>26</v>
      </c>
      <c r="Y1" s="207" t="s">
        <v>27</v>
      </c>
      <c r="Z1" s="789" t="s">
        <v>20</v>
      </c>
      <c r="AA1" s="801"/>
      <c r="AB1" s="801"/>
      <c r="AC1" s="802"/>
      <c r="AD1" s="789" t="s">
        <v>56</v>
      </c>
      <c r="AE1" s="801"/>
      <c r="AF1" s="801"/>
      <c r="AG1" s="802"/>
      <c r="AH1" s="789" t="s">
        <v>57</v>
      </c>
      <c r="AI1" s="801"/>
      <c r="AJ1" s="801"/>
      <c r="AK1" s="802"/>
      <c r="AL1" s="789" t="s">
        <v>58</v>
      </c>
      <c r="AM1" s="801"/>
      <c r="AN1" s="801"/>
      <c r="AO1" s="802"/>
    </row>
    <row r="2" spans="1:47" ht="14.95" customHeight="1" thickBot="1" x14ac:dyDescent="0.3">
      <c r="A2" s="33" t="s">
        <v>19</v>
      </c>
      <c r="B2" s="34" t="s">
        <v>18</v>
      </c>
      <c r="C2" s="35" t="s">
        <v>17</v>
      </c>
      <c r="D2" s="36" t="s">
        <v>37</v>
      </c>
      <c r="E2" s="36" t="s">
        <v>16</v>
      </c>
      <c r="F2" s="36" t="s">
        <v>4</v>
      </c>
      <c r="G2" s="36" t="s">
        <v>5</v>
      </c>
      <c r="H2" s="37" t="s">
        <v>12</v>
      </c>
      <c r="I2" s="37" t="s">
        <v>3</v>
      </c>
      <c r="J2" s="37" t="s">
        <v>12</v>
      </c>
      <c r="K2" s="37" t="s">
        <v>13</v>
      </c>
      <c r="L2" s="37" t="s">
        <v>2</v>
      </c>
      <c r="M2" s="37" t="s">
        <v>14</v>
      </c>
      <c r="N2" s="37" t="s">
        <v>15</v>
      </c>
      <c r="O2" s="37" t="s">
        <v>16</v>
      </c>
      <c r="P2" s="37" t="s">
        <v>21</v>
      </c>
      <c r="Q2" s="37" t="s">
        <v>22</v>
      </c>
      <c r="R2" s="37" t="s">
        <v>12</v>
      </c>
      <c r="S2" s="38"/>
      <c r="T2" s="39"/>
      <c r="U2" s="40"/>
      <c r="V2" s="38"/>
      <c r="W2" s="40"/>
      <c r="X2" s="41"/>
      <c r="Y2" s="42"/>
      <c r="Z2" s="116" t="s">
        <v>0</v>
      </c>
      <c r="AA2" s="116" t="s">
        <v>1</v>
      </c>
      <c r="AB2" s="116" t="s">
        <v>2</v>
      </c>
      <c r="AC2" s="116" t="s">
        <v>3</v>
      </c>
      <c r="AD2" s="116" t="s">
        <v>0</v>
      </c>
      <c r="AE2" s="116" t="s">
        <v>1</v>
      </c>
      <c r="AF2" s="116" t="s">
        <v>2</v>
      </c>
      <c r="AG2" s="116" t="s">
        <v>3</v>
      </c>
      <c r="AH2" s="116" t="s">
        <v>0</v>
      </c>
      <c r="AI2" s="116" t="s">
        <v>1</v>
      </c>
      <c r="AJ2" s="116" t="s">
        <v>2</v>
      </c>
      <c r="AK2" s="116" t="s">
        <v>3</v>
      </c>
      <c r="AL2" s="116" t="s">
        <v>0</v>
      </c>
      <c r="AM2" s="116" t="s">
        <v>1</v>
      </c>
      <c r="AN2" s="116" t="s">
        <v>2</v>
      </c>
      <c r="AO2" s="116" t="s">
        <v>3</v>
      </c>
      <c r="AT2" s="73" t="s">
        <v>508</v>
      </c>
    </row>
    <row r="3" spans="1:47" ht="14.95" customHeight="1" thickBot="1" x14ac:dyDescent="0.35">
      <c r="A3" s="336" t="s">
        <v>207</v>
      </c>
      <c r="B3" s="171" t="s">
        <v>41</v>
      </c>
      <c r="C3" s="171" t="s">
        <v>31</v>
      </c>
      <c r="D3" s="180" t="s">
        <v>84</v>
      </c>
      <c r="E3" s="172" t="s">
        <v>1</v>
      </c>
      <c r="F3" s="172">
        <v>24</v>
      </c>
      <c r="G3" s="172">
        <v>21</v>
      </c>
      <c r="H3" s="374">
        <v>0</v>
      </c>
      <c r="I3" s="374">
        <v>0</v>
      </c>
      <c r="J3" s="374">
        <v>3</v>
      </c>
      <c r="K3" s="374">
        <v>3</v>
      </c>
      <c r="L3" s="374">
        <v>0</v>
      </c>
      <c r="M3" s="374">
        <v>1</v>
      </c>
      <c r="N3" s="374">
        <v>0</v>
      </c>
      <c r="O3" s="609">
        <v>1</v>
      </c>
      <c r="P3" s="374">
        <v>0</v>
      </c>
      <c r="Q3" s="374">
        <v>1</v>
      </c>
      <c r="R3" s="374">
        <v>3</v>
      </c>
      <c r="S3" s="173"/>
      <c r="T3" s="181" t="s">
        <v>253</v>
      </c>
      <c r="U3" s="175" t="s">
        <v>252</v>
      </c>
      <c r="V3" s="173" t="s">
        <v>158</v>
      </c>
      <c r="W3" s="175" t="s">
        <v>110</v>
      </c>
      <c r="X3" s="175" t="s">
        <v>163</v>
      </c>
      <c r="Y3" s="176" t="s">
        <v>155</v>
      </c>
      <c r="Z3" s="655">
        <v>1</v>
      </c>
      <c r="AA3" s="655">
        <v>1</v>
      </c>
      <c r="AB3" s="655">
        <v>0</v>
      </c>
      <c r="AC3" s="656">
        <v>0</v>
      </c>
      <c r="AD3" s="655">
        <v>1</v>
      </c>
      <c r="AE3" s="655">
        <v>1</v>
      </c>
      <c r="AF3" s="655">
        <v>0</v>
      </c>
      <c r="AG3" s="656">
        <v>0</v>
      </c>
      <c r="AH3" s="657">
        <v>0</v>
      </c>
      <c r="AI3" s="657">
        <v>0</v>
      </c>
      <c r="AJ3" s="657">
        <v>0</v>
      </c>
      <c r="AK3" s="657">
        <v>0</v>
      </c>
      <c r="AL3" s="657">
        <v>0</v>
      </c>
      <c r="AM3" s="657">
        <v>0</v>
      </c>
      <c r="AN3" s="657">
        <v>0</v>
      </c>
      <c r="AO3" s="657">
        <v>0</v>
      </c>
      <c r="AT3" s="515" t="s">
        <v>503</v>
      </c>
      <c r="AU3" s="516">
        <v>31</v>
      </c>
    </row>
    <row r="4" spans="1:47" ht="14.95" customHeight="1" thickBot="1" x14ac:dyDescent="0.3">
      <c r="A4" s="155" t="s">
        <v>208</v>
      </c>
      <c r="B4" s="157" t="s">
        <v>41</v>
      </c>
      <c r="C4" s="157" t="s">
        <v>33</v>
      </c>
      <c r="D4" s="156" t="s">
        <v>209</v>
      </c>
      <c r="E4" s="158" t="s">
        <v>3</v>
      </c>
      <c r="F4" s="158">
        <v>15</v>
      </c>
      <c r="G4" s="158">
        <v>38</v>
      </c>
      <c r="H4" s="375">
        <v>0</v>
      </c>
      <c r="I4" s="375">
        <v>0</v>
      </c>
      <c r="J4" s="375">
        <v>2</v>
      </c>
      <c r="K4" s="375">
        <v>1</v>
      </c>
      <c r="L4" s="375">
        <v>0</v>
      </c>
      <c r="M4" s="375">
        <v>1</v>
      </c>
      <c r="N4" s="375">
        <v>0</v>
      </c>
      <c r="O4" s="375">
        <v>0</v>
      </c>
      <c r="P4" s="375">
        <v>1</v>
      </c>
      <c r="Q4" s="375">
        <v>0</v>
      </c>
      <c r="R4" s="375">
        <v>4</v>
      </c>
      <c r="S4" s="162"/>
      <c r="T4" s="166" t="s">
        <v>271</v>
      </c>
      <c r="U4" s="164" t="s">
        <v>272</v>
      </c>
      <c r="V4" s="162" t="s">
        <v>111</v>
      </c>
      <c r="W4" s="162" t="s">
        <v>127</v>
      </c>
      <c r="X4" s="162" t="s">
        <v>252</v>
      </c>
      <c r="Y4" s="159" t="s">
        <v>154</v>
      </c>
      <c r="Z4" s="159">
        <v>1</v>
      </c>
      <c r="AA4" s="159">
        <v>0</v>
      </c>
      <c r="AB4" s="159">
        <v>0</v>
      </c>
      <c r="AC4" s="523">
        <v>1</v>
      </c>
      <c r="AD4" s="159">
        <v>0</v>
      </c>
      <c r="AE4" s="159">
        <v>0</v>
      </c>
      <c r="AF4" s="159">
        <v>0</v>
      </c>
      <c r="AG4" s="523">
        <v>0</v>
      </c>
      <c r="AH4" s="658">
        <v>1</v>
      </c>
      <c r="AI4" s="658">
        <v>0</v>
      </c>
      <c r="AJ4" s="658">
        <v>0</v>
      </c>
      <c r="AK4" s="658">
        <v>1</v>
      </c>
      <c r="AL4" s="658">
        <v>0</v>
      </c>
      <c r="AM4" s="658">
        <v>0</v>
      </c>
      <c r="AN4" s="658">
        <v>0</v>
      </c>
      <c r="AO4" s="658">
        <v>0</v>
      </c>
      <c r="AT4" s="517" t="s">
        <v>504</v>
      </c>
      <c r="AU4" s="518">
        <v>13</v>
      </c>
    </row>
    <row r="5" spans="1:47" ht="14.95" customHeight="1" thickBot="1" x14ac:dyDescent="0.3">
      <c r="A5" s="170" t="s">
        <v>106</v>
      </c>
      <c r="B5" s="171" t="s">
        <v>41</v>
      </c>
      <c r="C5" s="171" t="s">
        <v>32</v>
      </c>
      <c r="D5" s="180" t="s">
        <v>84</v>
      </c>
      <c r="E5" s="172" t="s">
        <v>3</v>
      </c>
      <c r="F5" s="172">
        <v>17</v>
      </c>
      <c r="G5" s="172">
        <v>25</v>
      </c>
      <c r="H5" s="374">
        <v>0</v>
      </c>
      <c r="I5" s="374">
        <v>0</v>
      </c>
      <c r="J5" s="374">
        <v>3</v>
      </c>
      <c r="K5" s="374">
        <v>1</v>
      </c>
      <c r="L5" s="374">
        <v>0</v>
      </c>
      <c r="M5" s="374">
        <v>0</v>
      </c>
      <c r="N5" s="374">
        <v>1</v>
      </c>
      <c r="O5" s="374">
        <v>0</v>
      </c>
      <c r="P5" s="374">
        <v>1</v>
      </c>
      <c r="Q5" s="374">
        <v>0</v>
      </c>
      <c r="R5" s="374">
        <v>5</v>
      </c>
      <c r="S5" s="173"/>
      <c r="T5" s="174" t="s">
        <v>254</v>
      </c>
      <c r="U5" s="175" t="s">
        <v>146</v>
      </c>
      <c r="V5" s="173" t="s">
        <v>141</v>
      </c>
      <c r="W5" s="173" t="s">
        <v>127</v>
      </c>
      <c r="X5" s="176" t="s">
        <v>112</v>
      </c>
      <c r="Y5" s="380" t="s">
        <v>179</v>
      </c>
      <c r="Z5" s="176">
        <v>1</v>
      </c>
      <c r="AA5" s="176">
        <v>0</v>
      </c>
      <c r="AB5" s="176">
        <v>0</v>
      </c>
      <c r="AC5" s="342">
        <v>1</v>
      </c>
      <c r="AD5" s="176">
        <v>1</v>
      </c>
      <c r="AE5" s="176">
        <v>0</v>
      </c>
      <c r="AF5" s="176">
        <v>0</v>
      </c>
      <c r="AG5" s="176">
        <v>1</v>
      </c>
      <c r="AH5" s="176">
        <v>0</v>
      </c>
      <c r="AI5" s="176">
        <v>0</v>
      </c>
      <c r="AJ5" s="176">
        <v>0</v>
      </c>
      <c r="AK5" s="342">
        <v>0</v>
      </c>
      <c r="AL5" s="176">
        <v>0</v>
      </c>
      <c r="AM5" s="176">
        <v>0</v>
      </c>
      <c r="AN5" s="176">
        <v>0</v>
      </c>
      <c r="AO5" s="176">
        <v>0</v>
      </c>
      <c r="AT5" s="517" t="s">
        <v>505</v>
      </c>
      <c r="AU5" s="518">
        <v>0</v>
      </c>
    </row>
    <row r="6" spans="1:47" ht="14.95" customHeight="1" thickBot="1" x14ac:dyDescent="0.3">
      <c r="A6" s="155" t="s">
        <v>219</v>
      </c>
      <c r="B6" s="157" t="s">
        <v>41</v>
      </c>
      <c r="C6" s="157" t="s">
        <v>30</v>
      </c>
      <c r="D6" s="156" t="s">
        <v>221</v>
      </c>
      <c r="E6" s="158" t="s">
        <v>3</v>
      </c>
      <c r="F6" s="158">
        <v>7</v>
      </c>
      <c r="G6" s="158">
        <v>59</v>
      </c>
      <c r="H6" s="375">
        <v>0</v>
      </c>
      <c r="I6" s="375">
        <v>0</v>
      </c>
      <c r="J6" s="375">
        <v>1</v>
      </c>
      <c r="K6" s="375">
        <v>1</v>
      </c>
      <c r="L6" s="375">
        <v>0</v>
      </c>
      <c r="M6" s="375">
        <v>0</v>
      </c>
      <c r="N6" s="375">
        <v>1</v>
      </c>
      <c r="O6" s="375">
        <v>0</v>
      </c>
      <c r="P6" s="375">
        <v>1</v>
      </c>
      <c r="Q6" s="375">
        <v>0</v>
      </c>
      <c r="R6" s="375">
        <v>9</v>
      </c>
      <c r="S6" s="162"/>
      <c r="T6" s="166" t="s">
        <v>295</v>
      </c>
      <c r="U6" s="164" t="s">
        <v>114</v>
      </c>
      <c r="V6" s="162" t="s">
        <v>136</v>
      </c>
      <c r="W6" s="164" t="s">
        <v>115</v>
      </c>
      <c r="X6" s="164" t="s">
        <v>131</v>
      </c>
      <c r="Y6" s="159" t="s">
        <v>132</v>
      </c>
      <c r="Z6" s="159">
        <v>1</v>
      </c>
      <c r="AA6" s="159">
        <v>0</v>
      </c>
      <c r="AB6" s="159">
        <v>0</v>
      </c>
      <c r="AC6" s="523">
        <v>1</v>
      </c>
      <c r="AD6" s="658">
        <v>0</v>
      </c>
      <c r="AE6" s="521">
        <v>0</v>
      </c>
      <c r="AF6" s="159">
        <v>0</v>
      </c>
      <c r="AG6" s="159">
        <v>0</v>
      </c>
      <c r="AH6" s="159">
        <v>1</v>
      </c>
      <c r="AI6" s="159">
        <v>0</v>
      </c>
      <c r="AJ6" s="159">
        <v>0</v>
      </c>
      <c r="AK6" s="523">
        <v>1</v>
      </c>
      <c r="AL6" s="159">
        <v>0</v>
      </c>
      <c r="AM6" s="159">
        <v>0</v>
      </c>
      <c r="AN6" s="159">
        <v>0</v>
      </c>
      <c r="AO6" s="159">
        <v>0</v>
      </c>
      <c r="AT6" s="517" t="s">
        <v>506</v>
      </c>
      <c r="AU6" s="518">
        <v>18</v>
      </c>
    </row>
    <row r="7" spans="1:47" ht="14.95" customHeight="1" thickBot="1" x14ac:dyDescent="0.35">
      <c r="A7" s="170" t="s">
        <v>222</v>
      </c>
      <c r="B7" s="171" t="s">
        <v>41</v>
      </c>
      <c r="C7" s="171" t="s">
        <v>35</v>
      </c>
      <c r="D7" s="180" t="s">
        <v>84</v>
      </c>
      <c r="E7" s="172" t="s">
        <v>1</v>
      </c>
      <c r="F7" s="172">
        <v>26</v>
      </c>
      <c r="G7" s="172">
        <v>19</v>
      </c>
      <c r="H7" s="374">
        <v>1</v>
      </c>
      <c r="I7" s="374">
        <v>0</v>
      </c>
      <c r="J7" s="374">
        <v>4</v>
      </c>
      <c r="K7" s="374">
        <v>3</v>
      </c>
      <c r="L7" s="374">
        <v>0</v>
      </c>
      <c r="M7" s="374">
        <v>0</v>
      </c>
      <c r="N7" s="374">
        <v>2</v>
      </c>
      <c r="O7" s="374">
        <v>0</v>
      </c>
      <c r="P7" s="374">
        <v>0</v>
      </c>
      <c r="Q7" s="374">
        <v>1</v>
      </c>
      <c r="R7" s="374">
        <v>3</v>
      </c>
      <c r="S7" s="173"/>
      <c r="T7" s="181" t="s">
        <v>315</v>
      </c>
      <c r="U7" s="175" t="s">
        <v>145</v>
      </c>
      <c r="V7" s="173" t="s">
        <v>127</v>
      </c>
      <c r="W7" s="173" t="s">
        <v>136</v>
      </c>
      <c r="X7" s="176" t="s">
        <v>117</v>
      </c>
      <c r="Y7" s="380" t="s">
        <v>132</v>
      </c>
      <c r="Z7" s="176">
        <v>1</v>
      </c>
      <c r="AA7" s="176">
        <v>1</v>
      </c>
      <c r="AB7" s="176">
        <v>0</v>
      </c>
      <c r="AC7" s="342">
        <v>0</v>
      </c>
      <c r="AD7" s="176">
        <v>1</v>
      </c>
      <c r="AE7" s="176">
        <v>1</v>
      </c>
      <c r="AF7" s="176">
        <v>0</v>
      </c>
      <c r="AG7" s="342">
        <v>0</v>
      </c>
      <c r="AH7" s="631">
        <v>0</v>
      </c>
      <c r="AI7" s="631">
        <v>0</v>
      </c>
      <c r="AJ7" s="631">
        <v>0</v>
      </c>
      <c r="AK7" s="631">
        <v>0</v>
      </c>
      <c r="AL7" s="176">
        <v>0</v>
      </c>
      <c r="AM7" s="176">
        <v>0</v>
      </c>
      <c r="AN7" s="176">
        <v>0</v>
      </c>
      <c r="AO7" s="176">
        <v>0</v>
      </c>
      <c r="AT7" s="517" t="s">
        <v>507</v>
      </c>
      <c r="AU7" s="518">
        <v>474</v>
      </c>
    </row>
    <row r="8" spans="1:47" ht="14.95" customHeight="1" thickBot="1" x14ac:dyDescent="0.3">
      <c r="A8" s="155" t="s">
        <v>226</v>
      </c>
      <c r="B8" s="157" t="s">
        <v>161</v>
      </c>
      <c r="C8" s="157" t="s">
        <v>32</v>
      </c>
      <c r="D8" s="156" t="s">
        <v>522</v>
      </c>
      <c r="E8" s="158" t="s">
        <v>3</v>
      </c>
      <c r="F8" s="158">
        <v>29</v>
      </c>
      <c r="G8" s="158">
        <v>34</v>
      </c>
      <c r="H8" s="375" t="s">
        <v>69</v>
      </c>
      <c r="I8" s="375" t="s">
        <v>69</v>
      </c>
      <c r="J8" s="375">
        <v>5</v>
      </c>
      <c r="K8" s="375">
        <v>2</v>
      </c>
      <c r="L8" s="375">
        <v>0</v>
      </c>
      <c r="M8" s="375">
        <v>0</v>
      </c>
      <c r="N8" s="375">
        <v>0</v>
      </c>
      <c r="O8" s="375">
        <v>0</v>
      </c>
      <c r="P8" s="375" t="s">
        <v>69</v>
      </c>
      <c r="Q8" s="375" t="s">
        <v>69</v>
      </c>
      <c r="R8" s="375">
        <v>6</v>
      </c>
      <c r="S8" s="162"/>
      <c r="T8" s="166" t="s">
        <v>524</v>
      </c>
      <c r="U8" s="164" t="s">
        <v>119</v>
      </c>
      <c r="V8" s="162" t="s">
        <v>110</v>
      </c>
      <c r="W8" s="164" t="s">
        <v>100</v>
      </c>
      <c r="X8" s="164" t="s">
        <v>131</v>
      </c>
      <c r="Y8" s="379" t="s">
        <v>132</v>
      </c>
      <c r="Z8" s="159">
        <v>1</v>
      </c>
      <c r="AA8" s="159">
        <v>0</v>
      </c>
      <c r="AB8" s="159">
        <v>0</v>
      </c>
      <c r="AC8" s="523">
        <v>1</v>
      </c>
      <c r="AD8" s="159">
        <v>0</v>
      </c>
      <c r="AE8" s="159">
        <v>0</v>
      </c>
      <c r="AF8" s="159">
        <v>0</v>
      </c>
      <c r="AG8" s="523">
        <v>0</v>
      </c>
      <c r="AH8" s="159">
        <v>1</v>
      </c>
      <c r="AI8" s="159">
        <v>0</v>
      </c>
      <c r="AJ8" s="159">
        <v>0</v>
      </c>
      <c r="AK8" s="159">
        <v>1</v>
      </c>
      <c r="AL8" s="159">
        <v>0</v>
      </c>
      <c r="AM8" s="159">
        <v>0</v>
      </c>
      <c r="AN8" s="159">
        <v>0</v>
      </c>
      <c r="AO8" s="159">
        <v>0</v>
      </c>
    </row>
    <row r="9" spans="1:47" ht="14.95" customHeight="1" thickBot="1" x14ac:dyDescent="0.35">
      <c r="A9" s="155" t="s">
        <v>546</v>
      </c>
      <c r="B9" s="157" t="s">
        <v>161</v>
      </c>
      <c r="C9" s="157" t="s">
        <v>35</v>
      </c>
      <c r="D9" s="156" t="s">
        <v>218</v>
      </c>
      <c r="E9" s="158" t="s">
        <v>3</v>
      </c>
      <c r="F9" s="158">
        <v>21</v>
      </c>
      <c r="G9" s="158">
        <v>27</v>
      </c>
      <c r="H9" s="375" t="s">
        <v>69</v>
      </c>
      <c r="I9" s="375" t="s">
        <v>69</v>
      </c>
      <c r="J9" s="375">
        <v>3</v>
      </c>
      <c r="K9" s="375">
        <v>3</v>
      </c>
      <c r="L9" s="375">
        <v>0</v>
      </c>
      <c r="M9" s="375">
        <v>0</v>
      </c>
      <c r="N9" s="375">
        <v>1</v>
      </c>
      <c r="O9" s="375">
        <v>0</v>
      </c>
      <c r="P9" s="375" t="s">
        <v>69</v>
      </c>
      <c r="Q9" s="375" t="s">
        <v>69</v>
      </c>
      <c r="R9" s="375">
        <v>5</v>
      </c>
      <c r="S9" s="162"/>
      <c r="T9" s="334" t="s">
        <v>529</v>
      </c>
      <c r="U9" s="159" t="s">
        <v>114</v>
      </c>
      <c r="V9" s="159" t="s">
        <v>136</v>
      </c>
      <c r="W9" s="159" t="s">
        <v>100</v>
      </c>
      <c r="X9" s="159" t="s">
        <v>117</v>
      </c>
      <c r="Y9" s="165" t="s">
        <v>132</v>
      </c>
      <c r="Z9" s="159">
        <v>1</v>
      </c>
      <c r="AA9" s="159">
        <v>0</v>
      </c>
      <c r="AB9" s="159">
        <v>0</v>
      </c>
      <c r="AC9" s="523">
        <v>1</v>
      </c>
      <c r="AD9" s="159">
        <v>0</v>
      </c>
      <c r="AE9" s="159">
        <v>0</v>
      </c>
      <c r="AF9" s="159">
        <v>0</v>
      </c>
      <c r="AG9" s="523">
        <v>0</v>
      </c>
      <c r="AH9" s="658">
        <v>1</v>
      </c>
      <c r="AI9" s="658">
        <v>0</v>
      </c>
      <c r="AJ9" s="658">
        <v>0</v>
      </c>
      <c r="AK9" s="658">
        <v>1</v>
      </c>
      <c r="AL9" s="159">
        <v>0</v>
      </c>
      <c r="AM9" s="159">
        <v>0</v>
      </c>
      <c r="AN9" s="159">
        <v>0</v>
      </c>
      <c r="AO9" s="159">
        <v>0</v>
      </c>
    </row>
    <row r="10" spans="1:47" ht="14.95" customHeight="1" thickBot="1" x14ac:dyDescent="0.35">
      <c r="A10" s="187" t="s">
        <v>240</v>
      </c>
      <c r="B10" s="188" t="s">
        <v>231</v>
      </c>
      <c r="C10" s="188" t="s">
        <v>31</v>
      </c>
      <c r="D10" s="213" t="s">
        <v>246</v>
      </c>
      <c r="E10" s="184" t="s">
        <v>1</v>
      </c>
      <c r="F10" s="184">
        <v>38</v>
      </c>
      <c r="G10" s="184">
        <v>8</v>
      </c>
      <c r="H10" s="373">
        <v>1</v>
      </c>
      <c r="I10" s="373">
        <v>0</v>
      </c>
      <c r="J10" s="373">
        <v>6</v>
      </c>
      <c r="K10" s="373">
        <v>4</v>
      </c>
      <c r="L10" s="373">
        <v>0</v>
      </c>
      <c r="M10" s="373">
        <v>0</v>
      </c>
      <c r="N10" s="373">
        <v>0</v>
      </c>
      <c r="O10" s="373">
        <v>0</v>
      </c>
      <c r="P10" s="373">
        <v>0</v>
      </c>
      <c r="Q10" s="373">
        <v>0</v>
      </c>
      <c r="R10" s="373">
        <v>1</v>
      </c>
      <c r="S10" s="189">
        <v>10054</v>
      </c>
      <c r="T10" s="192" t="s">
        <v>670</v>
      </c>
      <c r="U10" s="190" t="s">
        <v>144</v>
      </c>
      <c r="V10" s="189" t="s">
        <v>110</v>
      </c>
      <c r="W10" s="190" t="s">
        <v>141</v>
      </c>
      <c r="X10" s="186" t="s">
        <v>117</v>
      </c>
      <c r="Y10" s="381" t="s">
        <v>163</v>
      </c>
      <c r="Z10" s="186">
        <v>1</v>
      </c>
      <c r="AA10" s="186">
        <v>1</v>
      </c>
      <c r="AB10" s="186">
        <v>0</v>
      </c>
      <c r="AC10" s="341">
        <v>0</v>
      </c>
      <c r="AD10" s="186">
        <v>0</v>
      </c>
      <c r="AE10" s="186">
        <v>0</v>
      </c>
      <c r="AF10" s="186">
        <v>0</v>
      </c>
      <c r="AG10" s="186">
        <v>0</v>
      </c>
      <c r="AH10" s="186">
        <v>0</v>
      </c>
      <c r="AI10" s="186">
        <v>0</v>
      </c>
      <c r="AJ10" s="186">
        <v>0</v>
      </c>
      <c r="AK10" s="341">
        <v>0</v>
      </c>
      <c r="AL10" s="186">
        <v>1</v>
      </c>
      <c r="AM10" s="186">
        <v>1</v>
      </c>
      <c r="AN10" s="186">
        <v>0</v>
      </c>
      <c r="AO10" s="186">
        <v>0</v>
      </c>
    </row>
    <row r="11" spans="1:47" ht="14.95" customHeight="1" thickBot="1" x14ac:dyDescent="0.35">
      <c r="A11" s="187" t="s">
        <v>234</v>
      </c>
      <c r="B11" s="188" t="s">
        <v>231</v>
      </c>
      <c r="C11" s="188" t="s">
        <v>166</v>
      </c>
      <c r="D11" s="213" t="s">
        <v>246</v>
      </c>
      <c r="E11" s="184" t="s">
        <v>1</v>
      </c>
      <c r="F11" s="184">
        <v>29</v>
      </c>
      <c r="G11" s="184">
        <v>15</v>
      </c>
      <c r="H11" s="373">
        <v>1</v>
      </c>
      <c r="I11" s="373">
        <v>0</v>
      </c>
      <c r="J11" s="373">
        <v>5</v>
      </c>
      <c r="K11" s="373">
        <v>2</v>
      </c>
      <c r="L11" s="373">
        <v>0</v>
      </c>
      <c r="M11" s="373">
        <v>0</v>
      </c>
      <c r="N11" s="373">
        <v>0</v>
      </c>
      <c r="O11" s="373">
        <v>0</v>
      </c>
      <c r="P11" s="373">
        <v>0</v>
      </c>
      <c r="Q11" s="373">
        <v>0</v>
      </c>
      <c r="R11" s="373">
        <v>3</v>
      </c>
      <c r="S11" s="186">
        <v>9803</v>
      </c>
      <c r="T11" s="192" t="s">
        <v>248</v>
      </c>
      <c r="U11" s="190" t="s">
        <v>272</v>
      </c>
      <c r="V11" s="190" t="s">
        <v>141</v>
      </c>
      <c r="W11" s="189" t="s">
        <v>110</v>
      </c>
      <c r="X11" s="189" t="s">
        <v>117</v>
      </c>
      <c r="Y11" s="381" t="s">
        <v>154</v>
      </c>
      <c r="Z11" s="186">
        <v>1</v>
      </c>
      <c r="AA11" s="186">
        <v>1</v>
      </c>
      <c r="AB11" s="186">
        <v>0</v>
      </c>
      <c r="AC11" s="341">
        <v>0</v>
      </c>
      <c r="AD11" s="186">
        <v>1</v>
      </c>
      <c r="AE11" s="186">
        <v>1</v>
      </c>
      <c r="AF11" s="186">
        <v>0</v>
      </c>
      <c r="AG11" s="341">
        <v>0</v>
      </c>
      <c r="AH11" s="186">
        <v>0</v>
      </c>
      <c r="AI11" s="186">
        <v>0</v>
      </c>
      <c r="AJ11" s="186">
        <v>0</v>
      </c>
      <c r="AK11" s="341">
        <v>0</v>
      </c>
      <c r="AL11" s="186">
        <v>0</v>
      </c>
      <c r="AM11" s="186">
        <v>0</v>
      </c>
      <c r="AN11" s="186">
        <v>0</v>
      </c>
      <c r="AO11" s="341">
        <v>0</v>
      </c>
    </row>
    <row r="12" spans="1:47" ht="14.95" customHeight="1" thickBot="1" x14ac:dyDescent="0.3">
      <c r="A12" s="187" t="s">
        <v>172</v>
      </c>
      <c r="B12" s="188" t="s">
        <v>231</v>
      </c>
      <c r="C12" s="188" t="s">
        <v>36</v>
      </c>
      <c r="D12" s="213" t="s">
        <v>241</v>
      </c>
      <c r="E12" s="184" t="s">
        <v>3</v>
      </c>
      <c r="F12" s="184">
        <v>19</v>
      </c>
      <c r="G12" s="184">
        <v>40</v>
      </c>
      <c r="H12" s="373">
        <v>0</v>
      </c>
      <c r="I12" s="373">
        <v>0</v>
      </c>
      <c r="J12" s="373">
        <v>3</v>
      </c>
      <c r="K12" s="373">
        <v>2</v>
      </c>
      <c r="L12" s="373">
        <v>0</v>
      </c>
      <c r="M12" s="373">
        <v>0</v>
      </c>
      <c r="N12" s="373">
        <v>1</v>
      </c>
      <c r="O12" s="373">
        <v>0</v>
      </c>
      <c r="P12" s="373">
        <v>1</v>
      </c>
      <c r="Q12" s="373">
        <v>0</v>
      </c>
      <c r="R12" s="373">
        <v>6</v>
      </c>
      <c r="S12" s="373">
        <v>14003</v>
      </c>
      <c r="T12" s="204" t="s">
        <v>582</v>
      </c>
      <c r="U12" s="186" t="s">
        <v>146</v>
      </c>
      <c r="V12" s="186" t="s">
        <v>141</v>
      </c>
      <c r="W12" s="186" t="s">
        <v>767</v>
      </c>
      <c r="X12" s="186" t="s">
        <v>159</v>
      </c>
      <c r="Y12" s="186" t="s">
        <v>131</v>
      </c>
      <c r="Z12" s="186">
        <v>1</v>
      </c>
      <c r="AA12" s="186">
        <v>0</v>
      </c>
      <c r="AB12" s="186">
        <v>0</v>
      </c>
      <c r="AC12" s="341">
        <v>1</v>
      </c>
      <c r="AD12" s="186">
        <v>0</v>
      </c>
      <c r="AE12" s="186">
        <v>0</v>
      </c>
      <c r="AF12" s="186">
        <v>0</v>
      </c>
      <c r="AG12" s="341">
        <v>0</v>
      </c>
      <c r="AH12" s="186">
        <v>0</v>
      </c>
      <c r="AI12" s="186">
        <v>0</v>
      </c>
      <c r="AJ12" s="186">
        <v>0</v>
      </c>
      <c r="AK12" s="341">
        <v>0</v>
      </c>
      <c r="AL12" s="186">
        <v>1</v>
      </c>
      <c r="AM12" s="186">
        <v>0</v>
      </c>
      <c r="AN12" s="186">
        <v>0</v>
      </c>
      <c r="AO12" s="341">
        <v>1</v>
      </c>
    </row>
    <row r="13" spans="1:47" ht="14.95" customHeight="1" thickBot="1" x14ac:dyDescent="0.3">
      <c r="A13" s="312" t="s">
        <v>599</v>
      </c>
      <c r="B13" s="167" t="s">
        <v>700</v>
      </c>
      <c r="C13" s="167" t="s">
        <v>30</v>
      </c>
      <c r="D13" s="680" t="s">
        <v>713</v>
      </c>
      <c r="E13" s="158" t="s">
        <v>3</v>
      </c>
      <c r="F13" s="158">
        <v>8</v>
      </c>
      <c r="G13" s="158">
        <v>40</v>
      </c>
      <c r="H13" s="375" t="s">
        <v>69</v>
      </c>
      <c r="I13" s="375" t="s">
        <v>69</v>
      </c>
      <c r="J13" s="375">
        <v>1</v>
      </c>
      <c r="K13" s="375">
        <v>0</v>
      </c>
      <c r="L13" s="375">
        <v>0</v>
      </c>
      <c r="M13" s="375">
        <v>1</v>
      </c>
      <c r="N13" s="375">
        <v>0</v>
      </c>
      <c r="O13" s="375">
        <v>0</v>
      </c>
      <c r="P13" s="375" t="s">
        <v>69</v>
      </c>
      <c r="Q13" s="375" t="s">
        <v>69</v>
      </c>
      <c r="R13" s="375">
        <v>6</v>
      </c>
      <c r="S13" s="159">
        <v>25295</v>
      </c>
      <c r="T13" s="168" t="s">
        <v>479</v>
      </c>
      <c r="U13" s="159" t="s">
        <v>119</v>
      </c>
      <c r="V13" s="159" t="s">
        <v>111</v>
      </c>
      <c r="W13" s="159" t="s">
        <v>136</v>
      </c>
      <c r="X13" s="159" t="s">
        <v>114</v>
      </c>
      <c r="Y13" s="159" t="s">
        <v>132</v>
      </c>
      <c r="Z13" s="159">
        <v>1</v>
      </c>
      <c r="AA13" s="159">
        <v>0</v>
      </c>
      <c r="AB13" s="159">
        <v>0</v>
      </c>
      <c r="AC13" s="523">
        <v>1</v>
      </c>
      <c r="AD13" s="159">
        <v>0</v>
      </c>
      <c r="AE13" s="159">
        <v>0</v>
      </c>
      <c r="AF13" s="159">
        <v>0</v>
      </c>
      <c r="AG13" s="523">
        <v>0</v>
      </c>
      <c r="AH13" s="159">
        <v>1</v>
      </c>
      <c r="AI13" s="159">
        <v>0</v>
      </c>
      <c r="AJ13" s="159">
        <v>0</v>
      </c>
      <c r="AK13" s="523">
        <v>1</v>
      </c>
      <c r="AL13" s="159">
        <v>0</v>
      </c>
      <c r="AM13" s="159">
        <v>0</v>
      </c>
      <c r="AN13" s="159">
        <v>0</v>
      </c>
      <c r="AO13" s="523">
        <v>0</v>
      </c>
    </row>
    <row r="14" spans="1:47" ht="14.95" customHeight="1" thickBot="1" x14ac:dyDescent="0.3">
      <c r="A14" s="104"/>
      <c r="B14" s="105"/>
      <c r="C14" s="765" t="s">
        <v>71</v>
      </c>
      <c r="D14" s="766"/>
      <c r="E14" s="767"/>
      <c r="F14" s="430">
        <f>SUM(F3:F7)</f>
        <v>89</v>
      </c>
      <c r="G14" s="430">
        <f t="shared" ref="G14:R14" si="0">SUM(G3:G7)</f>
        <v>162</v>
      </c>
      <c r="H14" s="430">
        <f t="shared" si="0"/>
        <v>1</v>
      </c>
      <c r="I14" s="430">
        <f t="shared" si="0"/>
        <v>0</v>
      </c>
      <c r="J14" s="430">
        <f t="shared" si="0"/>
        <v>13</v>
      </c>
      <c r="K14" s="430">
        <f t="shared" si="0"/>
        <v>9</v>
      </c>
      <c r="L14" s="430">
        <f t="shared" si="0"/>
        <v>0</v>
      </c>
      <c r="M14" s="430">
        <f t="shared" si="0"/>
        <v>2</v>
      </c>
      <c r="N14" s="430">
        <f t="shared" si="0"/>
        <v>4</v>
      </c>
      <c r="O14" s="430">
        <f t="shared" si="0"/>
        <v>1</v>
      </c>
      <c r="P14" s="430">
        <f t="shared" si="0"/>
        <v>3</v>
      </c>
      <c r="Q14" s="430">
        <f t="shared" si="0"/>
        <v>2</v>
      </c>
      <c r="R14" s="430">
        <f t="shared" si="0"/>
        <v>24</v>
      </c>
      <c r="S14" s="431"/>
      <c r="T14" s="431"/>
      <c r="U14" s="431"/>
      <c r="V14" s="431"/>
      <c r="W14" s="431"/>
      <c r="X14" s="426"/>
      <c r="Y14" s="434" t="s">
        <v>71</v>
      </c>
      <c r="Z14" s="430">
        <f t="shared" ref="Z14:AO14" si="1">SUM(Z3:Z7)</f>
        <v>5</v>
      </c>
      <c r="AA14" s="430">
        <f t="shared" si="1"/>
        <v>2</v>
      </c>
      <c r="AB14" s="430">
        <f t="shared" si="1"/>
        <v>0</v>
      </c>
      <c r="AC14" s="430">
        <f t="shared" si="1"/>
        <v>3</v>
      </c>
      <c r="AD14" s="432">
        <f t="shared" si="1"/>
        <v>3</v>
      </c>
      <c r="AE14" s="432">
        <f t="shared" si="1"/>
        <v>2</v>
      </c>
      <c r="AF14" s="432">
        <f t="shared" si="1"/>
        <v>0</v>
      </c>
      <c r="AG14" s="432">
        <f t="shared" si="1"/>
        <v>1</v>
      </c>
      <c r="AH14" s="433">
        <f t="shared" si="1"/>
        <v>2</v>
      </c>
      <c r="AI14" s="433">
        <f t="shared" si="1"/>
        <v>0</v>
      </c>
      <c r="AJ14" s="433">
        <f t="shared" si="1"/>
        <v>0</v>
      </c>
      <c r="AK14" s="433">
        <f t="shared" si="1"/>
        <v>2</v>
      </c>
      <c r="AL14" s="430">
        <f t="shared" si="1"/>
        <v>0</v>
      </c>
      <c r="AM14" s="430">
        <f t="shared" si="1"/>
        <v>0</v>
      </c>
      <c r="AN14" s="430">
        <f t="shared" si="1"/>
        <v>0</v>
      </c>
      <c r="AO14" s="430">
        <f t="shared" si="1"/>
        <v>0</v>
      </c>
    </row>
    <row r="15" spans="1:47" ht="14.95" thickBot="1" x14ac:dyDescent="0.3">
      <c r="A15" s="104"/>
      <c r="B15" s="105"/>
      <c r="C15" s="454" t="s">
        <v>237</v>
      </c>
      <c r="D15" s="455"/>
      <c r="E15" s="456"/>
      <c r="F15" s="457">
        <f>SUM(F10:F13)</f>
        <v>94</v>
      </c>
      <c r="G15" s="457">
        <f t="shared" ref="G15:R15" si="2">SUM(G10:G13)</f>
        <v>103</v>
      </c>
      <c r="H15" s="457">
        <f t="shared" si="2"/>
        <v>2</v>
      </c>
      <c r="I15" s="457">
        <f t="shared" si="2"/>
        <v>0</v>
      </c>
      <c r="J15" s="457">
        <f t="shared" si="2"/>
        <v>15</v>
      </c>
      <c r="K15" s="457">
        <f t="shared" si="2"/>
        <v>8</v>
      </c>
      <c r="L15" s="457">
        <f t="shared" si="2"/>
        <v>0</v>
      </c>
      <c r="M15" s="457">
        <f t="shared" si="2"/>
        <v>1</v>
      </c>
      <c r="N15" s="457">
        <f t="shared" si="2"/>
        <v>1</v>
      </c>
      <c r="O15" s="457">
        <f t="shared" si="2"/>
        <v>0</v>
      </c>
      <c r="P15" s="457">
        <f t="shared" si="2"/>
        <v>1</v>
      </c>
      <c r="Q15" s="457">
        <f t="shared" si="2"/>
        <v>0</v>
      </c>
      <c r="R15" s="457">
        <f t="shared" si="2"/>
        <v>16</v>
      </c>
      <c r="S15" s="458"/>
      <c r="T15" s="458"/>
      <c r="U15" s="458"/>
      <c r="V15" s="458"/>
      <c r="W15" s="458"/>
      <c r="X15" s="459"/>
      <c r="Y15" s="460" t="s">
        <v>237</v>
      </c>
      <c r="Z15" s="457">
        <f t="shared" ref="Z15:AO15" si="3">SUM(Z10:Z13)</f>
        <v>4</v>
      </c>
      <c r="AA15" s="457">
        <f t="shared" si="3"/>
        <v>2</v>
      </c>
      <c r="AB15" s="457">
        <f t="shared" si="3"/>
        <v>0</v>
      </c>
      <c r="AC15" s="457">
        <f t="shared" si="3"/>
        <v>2</v>
      </c>
      <c r="AD15" s="461">
        <f t="shared" si="3"/>
        <v>1</v>
      </c>
      <c r="AE15" s="461">
        <f t="shared" si="3"/>
        <v>1</v>
      </c>
      <c r="AF15" s="461">
        <f t="shared" si="3"/>
        <v>0</v>
      </c>
      <c r="AG15" s="461">
        <f t="shared" si="3"/>
        <v>0</v>
      </c>
      <c r="AH15" s="462">
        <f t="shared" si="3"/>
        <v>1</v>
      </c>
      <c r="AI15" s="462">
        <f t="shared" si="3"/>
        <v>0</v>
      </c>
      <c r="AJ15" s="462">
        <f t="shared" si="3"/>
        <v>0</v>
      </c>
      <c r="AK15" s="462">
        <f t="shared" si="3"/>
        <v>1</v>
      </c>
      <c r="AL15" s="457">
        <f t="shared" si="3"/>
        <v>2</v>
      </c>
      <c r="AM15" s="457">
        <f t="shared" si="3"/>
        <v>1</v>
      </c>
      <c r="AN15" s="457">
        <f t="shared" si="3"/>
        <v>0</v>
      </c>
      <c r="AO15" s="457">
        <f t="shared" si="3"/>
        <v>1</v>
      </c>
    </row>
    <row r="16" spans="1:47" ht="14.95" thickBot="1" x14ac:dyDescent="0.3">
      <c r="A16" s="104"/>
      <c r="B16" s="105"/>
      <c r="C16" s="728" t="s">
        <v>70</v>
      </c>
      <c r="D16" s="729"/>
      <c r="E16" s="730"/>
      <c r="F16" s="128">
        <f>SUM(F3:F13)</f>
        <v>233</v>
      </c>
      <c r="G16" s="128">
        <f t="shared" ref="G16:R16" si="4">SUM(G3:G13)</f>
        <v>326</v>
      </c>
      <c r="H16" s="128">
        <f t="shared" si="4"/>
        <v>3</v>
      </c>
      <c r="I16" s="128">
        <f t="shared" si="4"/>
        <v>0</v>
      </c>
      <c r="J16" s="128">
        <f t="shared" si="4"/>
        <v>36</v>
      </c>
      <c r="K16" s="128">
        <f t="shared" si="4"/>
        <v>22</v>
      </c>
      <c r="L16" s="128">
        <f t="shared" si="4"/>
        <v>0</v>
      </c>
      <c r="M16" s="128">
        <f t="shared" si="4"/>
        <v>3</v>
      </c>
      <c r="N16" s="128">
        <f t="shared" si="4"/>
        <v>6</v>
      </c>
      <c r="O16" s="128">
        <f t="shared" si="4"/>
        <v>1</v>
      </c>
      <c r="P16" s="128">
        <f t="shared" si="4"/>
        <v>4</v>
      </c>
      <c r="Q16" s="128">
        <f t="shared" si="4"/>
        <v>2</v>
      </c>
      <c r="R16" s="128">
        <f t="shared" si="4"/>
        <v>51</v>
      </c>
      <c r="S16" s="125"/>
      <c r="T16" s="125"/>
      <c r="U16" s="125"/>
      <c r="V16" s="125"/>
      <c r="W16" s="125"/>
      <c r="X16" s="12"/>
      <c r="Y16" s="133" t="s">
        <v>70</v>
      </c>
      <c r="Z16" s="128">
        <f t="shared" ref="Z16:AO16" si="5">SUM(Z3:Z13)</f>
        <v>11</v>
      </c>
      <c r="AA16" s="128">
        <f t="shared" si="5"/>
        <v>4</v>
      </c>
      <c r="AB16" s="128">
        <f t="shared" si="5"/>
        <v>0</v>
      </c>
      <c r="AC16" s="128">
        <f t="shared" si="5"/>
        <v>7</v>
      </c>
      <c r="AD16" s="126">
        <f t="shared" si="5"/>
        <v>4</v>
      </c>
      <c r="AE16" s="126">
        <f t="shared" si="5"/>
        <v>3</v>
      </c>
      <c r="AF16" s="126">
        <f t="shared" si="5"/>
        <v>0</v>
      </c>
      <c r="AG16" s="126">
        <f t="shared" si="5"/>
        <v>1</v>
      </c>
      <c r="AH16" s="127">
        <f t="shared" si="5"/>
        <v>5</v>
      </c>
      <c r="AI16" s="127">
        <f t="shared" si="5"/>
        <v>0</v>
      </c>
      <c r="AJ16" s="127">
        <f t="shared" si="5"/>
        <v>0</v>
      </c>
      <c r="AK16" s="127">
        <f t="shared" si="5"/>
        <v>5</v>
      </c>
      <c r="AL16" s="128">
        <f t="shared" si="5"/>
        <v>2</v>
      </c>
      <c r="AM16" s="128">
        <f t="shared" si="5"/>
        <v>1</v>
      </c>
      <c r="AN16" s="128">
        <f t="shared" si="5"/>
        <v>0</v>
      </c>
      <c r="AO16" s="128">
        <f t="shared" si="5"/>
        <v>1</v>
      </c>
    </row>
    <row r="17" spans="1:18" x14ac:dyDescent="0.25">
      <c r="A17" s="727" t="s">
        <v>53</v>
      </c>
      <c r="B17" s="727"/>
      <c r="C17" s="727"/>
      <c r="D17" s="727"/>
      <c r="E17" s="727"/>
      <c r="F17" s="727"/>
      <c r="G17" s="727"/>
      <c r="H17" s="727"/>
      <c r="I17" s="727"/>
      <c r="J17" s="727"/>
      <c r="K17" s="727"/>
      <c r="L17" s="727"/>
      <c r="M17" s="727"/>
      <c r="N17" s="727"/>
      <c r="O17" s="727"/>
      <c r="P17" s="727"/>
      <c r="Q17" s="727"/>
      <c r="R17" s="727"/>
    </row>
    <row r="18" spans="1:18" x14ac:dyDescent="0.25">
      <c r="A18" s="335" t="s">
        <v>210</v>
      </c>
    </row>
    <row r="19" spans="1:18" x14ac:dyDescent="0.25">
      <c r="A19" s="522" t="s">
        <v>548</v>
      </c>
    </row>
    <row r="20" spans="1:18" x14ac:dyDescent="0.25">
      <c r="A20" s="538" t="s">
        <v>547</v>
      </c>
    </row>
    <row r="21" spans="1:18" x14ac:dyDescent="0.25">
      <c r="A21" s="183" t="s">
        <v>731</v>
      </c>
    </row>
    <row r="22" spans="1:18" x14ac:dyDescent="0.25">
      <c r="A22" s="727" t="s">
        <v>796</v>
      </c>
      <c r="B22" s="727"/>
      <c r="C22" s="727"/>
      <c r="D22" s="727"/>
      <c r="E22" s="727"/>
      <c r="F22" s="727"/>
      <c r="G22" s="727"/>
      <c r="H22" s="727"/>
      <c r="I22" s="727"/>
      <c r="J22" s="727"/>
      <c r="K22" s="727"/>
      <c r="L22" s="727"/>
      <c r="M22" s="727"/>
      <c r="N22" s="727"/>
      <c r="O22" s="727"/>
      <c r="P22" s="727"/>
      <c r="Q22" s="727"/>
      <c r="R22" s="727"/>
    </row>
    <row r="23" spans="1:18" x14ac:dyDescent="0.25">
      <c r="A23" s="183" t="s">
        <v>75</v>
      </c>
    </row>
    <row r="24" spans="1:18" x14ac:dyDescent="0.25">
      <c r="A24" s="313"/>
      <c r="B24" s="73" t="s">
        <v>40</v>
      </c>
      <c r="C24" s="73"/>
    </row>
    <row r="25" spans="1:18" x14ac:dyDescent="0.25">
      <c r="A25" s="314"/>
      <c r="B25" s="73" t="s">
        <v>38</v>
      </c>
      <c r="C25" s="73"/>
    </row>
    <row r="26" spans="1:18" x14ac:dyDescent="0.25">
      <c r="A26" s="315"/>
      <c r="B26" s="73" t="s">
        <v>39</v>
      </c>
      <c r="C26" s="73"/>
    </row>
    <row r="27" spans="1:18" ht="16.3" x14ac:dyDescent="0.3">
      <c r="A27" s="681" t="s">
        <v>28</v>
      </c>
    </row>
  </sheetData>
  <mergeCells count="14">
    <mergeCell ref="A22:R22"/>
    <mergeCell ref="A17:R17"/>
    <mergeCell ref="AH1:AK1"/>
    <mergeCell ref="C14:E14"/>
    <mergeCell ref="C16:E16"/>
    <mergeCell ref="A1:C1"/>
    <mergeCell ref="E1:G1"/>
    <mergeCell ref="AL1:AO1"/>
    <mergeCell ref="P1:R1"/>
    <mergeCell ref="H1:I1"/>
    <mergeCell ref="J1:M1"/>
    <mergeCell ref="N1:O1"/>
    <mergeCell ref="Z1:AC1"/>
    <mergeCell ref="AD1:AG1"/>
  </mergeCells>
  <pageMargins left="0.7" right="0.7" top="0.75" bottom="0.75" header="0.3" footer="0.3"/>
  <pageSetup paperSize="9" orientation="portrait" r:id="rId1"/>
  <ignoredErrors>
    <ignoredError sqref="C14:E14 D15:E15 F14 S14:Y14 G14:R14 Z14:AO14 Y15 S15:X15 F16:AO16 F15:R15 Z15:AO15" formulaRange="1"/>
    <ignoredError sqref="T8 T12:T13" twoDigitTextYear="1"/>
  </ignoredError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70254-B55B-4AEF-854F-4514202D58E1}">
  <dimension ref="A1:AV26"/>
  <sheetViews>
    <sheetView workbookViewId="0">
      <selection activeCell="A26" sqref="A26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5" customWidth="1"/>
    <col min="5" max="18" width="3.75" customWidth="1"/>
    <col min="19" max="19" width="6.625" customWidth="1"/>
    <col min="20" max="20" width="6.25" customWidth="1"/>
    <col min="21" max="21" width="24.625" bestFit="1" customWidth="1"/>
    <col min="22" max="22" width="21.875" bestFit="1" customWidth="1"/>
    <col min="23" max="23" width="17.375" bestFit="1" customWidth="1"/>
    <col min="24" max="24" width="26" bestFit="1" customWidth="1"/>
    <col min="25" max="25" width="29.25" bestFit="1" customWidth="1"/>
    <col min="26" max="41" width="3.75" customWidth="1"/>
    <col min="47" max="47" width="9.875" bestFit="1" customWidth="1"/>
  </cols>
  <sheetData>
    <row r="1" spans="1:48" ht="14.95" customHeight="1" thickBot="1" x14ac:dyDescent="0.3">
      <c r="A1" s="855" t="s">
        <v>302</v>
      </c>
      <c r="B1" s="856"/>
      <c r="C1" s="856"/>
      <c r="D1" s="274"/>
      <c r="E1" s="857" t="s">
        <v>24</v>
      </c>
      <c r="F1" s="858"/>
      <c r="G1" s="859"/>
      <c r="H1" s="857" t="s">
        <v>74</v>
      </c>
      <c r="I1" s="859"/>
      <c r="J1" s="860" t="s">
        <v>6</v>
      </c>
      <c r="K1" s="861"/>
      <c r="L1" s="861"/>
      <c r="M1" s="862"/>
      <c r="N1" s="860" t="s">
        <v>7</v>
      </c>
      <c r="O1" s="862"/>
      <c r="P1" s="860" t="s">
        <v>25</v>
      </c>
      <c r="Q1" s="861"/>
      <c r="R1" s="862"/>
      <c r="S1" s="553" t="s">
        <v>8</v>
      </c>
      <c r="T1" s="275" t="s">
        <v>9</v>
      </c>
      <c r="U1" s="276" t="s">
        <v>10</v>
      </c>
      <c r="V1" s="276" t="s">
        <v>11</v>
      </c>
      <c r="W1" s="276" t="s">
        <v>109</v>
      </c>
      <c r="X1" s="276" t="s">
        <v>26</v>
      </c>
      <c r="Y1" s="276" t="s">
        <v>27</v>
      </c>
      <c r="Z1" s="852" t="s">
        <v>20</v>
      </c>
      <c r="AA1" s="853"/>
      <c r="AB1" s="853"/>
      <c r="AC1" s="854"/>
      <c r="AD1" s="852" t="s">
        <v>56</v>
      </c>
      <c r="AE1" s="853"/>
      <c r="AF1" s="853"/>
      <c r="AG1" s="854"/>
      <c r="AH1" s="852" t="s">
        <v>57</v>
      </c>
      <c r="AI1" s="853"/>
      <c r="AJ1" s="853"/>
      <c r="AK1" s="854"/>
      <c r="AL1" s="852" t="s">
        <v>58</v>
      </c>
      <c r="AM1" s="853"/>
      <c r="AN1" s="853"/>
      <c r="AO1" s="854"/>
    </row>
    <row r="2" spans="1:48" ht="14.95" customHeight="1" thickBot="1" x14ac:dyDescent="0.3">
      <c r="A2" s="277" t="s">
        <v>19</v>
      </c>
      <c r="B2" s="278" t="s">
        <v>18</v>
      </c>
      <c r="C2" s="279" t="s">
        <v>17</v>
      </c>
      <c r="D2" s="279" t="s">
        <v>37</v>
      </c>
      <c r="E2" s="280" t="s">
        <v>16</v>
      </c>
      <c r="F2" s="280" t="s">
        <v>4</v>
      </c>
      <c r="G2" s="280" t="s">
        <v>5</v>
      </c>
      <c r="H2" s="281" t="s">
        <v>12</v>
      </c>
      <c r="I2" s="281" t="s">
        <v>3</v>
      </c>
      <c r="J2" s="281" t="s">
        <v>12</v>
      </c>
      <c r="K2" s="281" t="s">
        <v>13</v>
      </c>
      <c r="L2" s="281" t="s">
        <v>2</v>
      </c>
      <c r="M2" s="281" t="s">
        <v>14</v>
      </c>
      <c r="N2" s="281" t="s">
        <v>15</v>
      </c>
      <c r="O2" s="281" t="s">
        <v>16</v>
      </c>
      <c r="P2" s="281" t="s">
        <v>21</v>
      </c>
      <c r="Q2" s="281" t="s">
        <v>22</v>
      </c>
      <c r="R2" s="281" t="s">
        <v>12</v>
      </c>
      <c r="S2" s="280"/>
      <c r="T2" s="283"/>
      <c r="U2" s="284"/>
      <c r="V2" s="282"/>
      <c r="W2" s="282"/>
      <c r="X2" s="276"/>
      <c r="Y2" s="390"/>
      <c r="Z2" s="285" t="s">
        <v>0</v>
      </c>
      <c r="AA2" s="285" t="s">
        <v>1</v>
      </c>
      <c r="AB2" s="285" t="s">
        <v>2</v>
      </c>
      <c r="AC2" s="285" t="s">
        <v>3</v>
      </c>
      <c r="AD2" s="285" t="s">
        <v>0</v>
      </c>
      <c r="AE2" s="285" t="s">
        <v>1</v>
      </c>
      <c r="AF2" s="285" t="s">
        <v>2</v>
      </c>
      <c r="AG2" s="285" t="s">
        <v>3</v>
      </c>
      <c r="AH2" s="285" t="s">
        <v>0</v>
      </c>
      <c r="AI2" s="285" t="s">
        <v>1</v>
      </c>
      <c r="AJ2" s="285" t="s">
        <v>2</v>
      </c>
      <c r="AK2" s="285" t="s">
        <v>3</v>
      </c>
      <c r="AL2" s="285" t="s">
        <v>0</v>
      </c>
      <c r="AM2" s="285" t="s">
        <v>1</v>
      </c>
      <c r="AN2" s="285" t="s">
        <v>2</v>
      </c>
      <c r="AO2" s="285" t="s">
        <v>3</v>
      </c>
      <c r="AU2" s="73" t="s">
        <v>508</v>
      </c>
    </row>
    <row r="3" spans="1:48" ht="14.95" customHeight="1" thickBot="1" x14ac:dyDescent="0.35">
      <c r="A3" s="312" t="s">
        <v>219</v>
      </c>
      <c r="B3" s="157" t="s">
        <v>161</v>
      </c>
      <c r="C3" s="157" t="s">
        <v>133</v>
      </c>
      <c r="D3" s="157" t="s">
        <v>303</v>
      </c>
      <c r="E3" s="158" t="s">
        <v>1</v>
      </c>
      <c r="F3" s="158">
        <v>48</v>
      </c>
      <c r="G3" s="158">
        <v>26</v>
      </c>
      <c r="H3" s="375" t="s">
        <v>69</v>
      </c>
      <c r="I3" s="375" t="s">
        <v>69</v>
      </c>
      <c r="J3" s="375">
        <v>8</v>
      </c>
      <c r="K3" s="375">
        <v>4</v>
      </c>
      <c r="L3" s="375">
        <v>0</v>
      </c>
      <c r="M3" s="375">
        <v>0</v>
      </c>
      <c r="N3" s="375">
        <v>1</v>
      </c>
      <c r="O3" s="375">
        <v>0</v>
      </c>
      <c r="P3" s="375" t="s">
        <v>69</v>
      </c>
      <c r="Q3" s="375" t="s">
        <v>69</v>
      </c>
      <c r="R3" s="375">
        <v>4</v>
      </c>
      <c r="S3" s="625"/>
      <c r="T3" s="163" t="s">
        <v>304</v>
      </c>
      <c r="U3" s="164" t="s">
        <v>117</v>
      </c>
      <c r="V3" s="162" t="s">
        <v>100</v>
      </c>
      <c r="W3" s="162" t="s">
        <v>100</v>
      </c>
      <c r="X3" s="159" t="s">
        <v>305</v>
      </c>
      <c r="Y3" s="379" t="s">
        <v>306</v>
      </c>
      <c r="Z3" s="337">
        <v>1</v>
      </c>
      <c r="AA3" s="337">
        <v>1</v>
      </c>
      <c r="AB3" s="337">
        <v>0</v>
      </c>
      <c r="AC3" s="338">
        <v>0</v>
      </c>
      <c r="AD3" s="337">
        <v>0</v>
      </c>
      <c r="AE3" s="337">
        <v>0</v>
      </c>
      <c r="AF3" s="337">
        <v>0</v>
      </c>
      <c r="AG3" s="338">
        <v>0</v>
      </c>
      <c r="AH3" s="337">
        <v>1</v>
      </c>
      <c r="AI3" s="337">
        <v>1</v>
      </c>
      <c r="AJ3" s="337">
        <v>0</v>
      </c>
      <c r="AK3" s="338">
        <v>0</v>
      </c>
      <c r="AL3" s="337">
        <v>0</v>
      </c>
      <c r="AM3" s="337">
        <v>0</v>
      </c>
      <c r="AN3" s="337">
        <v>0</v>
      </c>
      <c r="AO3" s="338">
        <v>0</v>
      </c>
      <c r="AU3" s="515" t="s">
        <v>503</v>
      </c>
      <c r="AV3" s="516">
        <v>22</v>
      </c>
    </row>
    <row r="4" spans="1:48" ht="14.95" customHeight="1" thickBot="1" x14ac:dyDescent="0.35">
      <c r="A4" s="202" t="s">
        <v>436</v>
      </c>
      <c r="B4" s="188" t="s">
        <v>169</v>
      </c>
      <c r="C4" s="188" t="s">
        <v>434</v>
      </c>
      <c r="D4" s="188" t="s">
        <v>441</v>
      </c>
      <c r="E4" s="184" t="s">
        <v>1</v>
      </c>
      <c r="F4" s="184">
        <v>62</v>
      </c>
      <c r="G4" s="184">
        <v>7</v>
      </c>
      <c r="H4" s="373">
        <v>1</v>
      </c>
      <c r="I4" s="373">
        <v>0</v>
      </c>
      <c r="J4" s="373">
        <v>10</v>
      </c>
      <c r="K4" s="373">
        <v>6</v>
      </c>
      <c r="L4" s="373">
        <v>0</v>
      </c>
      <c r="M4" s="373">
        <v>0</v>
      </c>
      <c r="N4" s="373">
        <v>1</v>
      </c>
      <c r="O4" s="373">
        <v>0</v>
      </c>
      <c r="P4" s="373">
        <v>0</v>
      </c>
      <c r="Q4" s="373">
        <v>0</v>
      </c>
      <c r="R4" s="373">
        <v>1</v>
      </c>
      <c r="S4" s="391"/>
      <c r="T4" s="192" t="s">
        <v>410</v>
      </c>
      <c r="U4" s="190" t="s">
        <v>437</v>
      </c>
      <c r="V4" s="189" t="s">
        <v>100</v>
      </c>
      <c r="W4" s="189" t="s">
        <v>100</v>
      </c>
      <c r="X4" s="186" t="s">
        <v>438</v>
      </c>
      <c r="Y4" s="381" t="s">
        <v>439</v>
      </c>
      <c r="Z4" s="339">
        <v>1</v>
      </c>
      <c r="AA4" s="339">
        <v>1</v>
      </c>
      <c r="AB4" s="339">
        <v>0</v>
      </c>
      <c r="AC4" s="340">
        <v>0</v>
      </c>
      <c r="AD4" s="339">
        <v>0</v>
      </c>
      <c r="AE4" s="339">
        <v>0</v>
      </c>
      <c r="AF4" s="339">
        <v>0</v>
      </c>
      <c r="AG4" s="340">
        <v>0</v>
      </c>
      <c r="AH4" s="339">
        <v>0</v>
      </c>
      <c r="AI4" s="339">
        <v>0</v>
      </c>
      <c r="AJ4" s="339">
        <v>0</v>
      </c>
      <c r="AK4" s="340">
        <v>0</v>
      </c>
      <c r="AL4" s="339">
        <v>1</v>
      </c>
      <c r="AM4" s="339">
        <v>1</v>
      </c>
      <c r="AN4" s="339">
        <v>0</v>
      </c>
      <c r="AO4" s="340">
        <v>0</v>
      </c>
      <c r="AU4" s="517" t="s">
        <v>504</v>
      </c>
      <c r="AV4" s="518">
        <v>5</v>
      </c>
    </row>
    <row r="5" spans="1:48" ht="14.95" customHeight="1" thickBot="1" x14ac:dyDescent="0.35">
      <c r="A5" s="302" t="s">
        <v>464</v>
      </c>
      <c r="B5" s="202" t="s">
        <v>169</v>
      </c>
      <c r="C5" s="188" t="s">
        <v>442</v>
      </c>
      <c r="D5" s="188" t="s">
        <v>441</v>
      </c>
      <c r="E5" s="184" t="s">
        <v>1</v>
      </c>
      <c r="F5" s="184">
        <v>19</v>
      </c>
      <c r="G5" s="184">
        <v>12</v>
      </c>
      <c r="H5" s="373">
        <v>0</v>
      </c>
      <c r="I5" s="373">
        <v>0</v>
      </c>
      <c r="J5" s="373">
        <v>3</v>
      </c>
      <c r="K5" s="373">
        <v>2</v>
      </c>
      <c r="L5" s="373">
        <v>0</v>
      </c>
      <c r="M5" s="373">
        <v>0</v>
      </c>
      <c r="N5" s="373">
        <v>2</v>
      </c>
      <c r="O5" s="373">
        <v>0</v>
      </c>
      <c r="P5" s="373">
        <v>0</v>
      </c>
      <c r="Q5" s="373">
        <v>1</v>
      </c>
      <c r="R5" s="373">
        <v>2</v>
      </c>
      <c r="S5" s="391"/>
      <c r="T5" s="192" t="s">
        <v>465</v>
      </c>
      <c r="U5" s="190" t="s">
        <v>466</v>
      </c>
      <c r="V5" s="189" t="s">
        <v>100</v>
      </c>
      <c r="W5" s="189" t="s">
        <v>100</v>
      </c>
      <c r="X5" s="186" t="s">
        <v>438</v>
      </c>
      <c r="Y5" s="381" t="s">
        <v>439</v>
      </c>
      <c r="Z5" s="339">
        <v>1</v>
      </c>
      <c r="AA5" s="339">
        <v>1</v>
      </c>
      <c r="AB5" s="339">
        <v>0</v>
      </c>
      <c r="AC5" s="340">
        <v>0</v>
      </c>
      <c r="AD5" s="339">
        <v>0</v>
      </c>
      <c r="AE5" s="339">
        <v>0</v>
      </c>
      <c r="AF5" s="339">
        <v>0</v>
      </c>
      <c r="AG5" s="340">
        <v>0</v>
      </c>
      <c r="AH5" s="339">
        <v>0</v>
      </c>
      <c r="AI5" s="339">
        <v>0</v>
      </c>
      <c r="AJ5" s="339">
        <v>0</v>
      </c>
      <c r="AK5" s="340">
        <v>0</v>
      </c>
      <c r="AL5" s="339">
        <v>1</v>
      </c>
      <c r="AM5" s="339">
        <v>1</v>
      </c>
      <c r="AN5" s="339">
        <v>0</v>
      </c>
      <c r="AO5" s="340">
        <v>0</v>
      </c>
      <c r="AU5" s="517" t="s">
        <v>505</v>
      </c>
      <c r="AV5" s="518">
        <v>0</v>
      </c>
    </row>
    <row r="6" spans="1:48" ht="14.95" customHeight="1" thickBot="1" x14ac:dyDescent="0.35">
      <c r="A6" s="500" t="s">
        <v>470</v>
      </c>
      <c r="B6" s="167" t="s">
        <v>169</v>
      </c>
      <c r="C6" s="157" t="s">
        <v>156</v>
      </c>
      <c r="D6" s="157" t="s">
        <v>441</v>
      </c>
      <c r="E6" s="158" t="s">
        <v>1</v>
      </c>
      <c r="F6" s="158">
        <v>61</v>
      </c>
      <c r="G6" s="158">
        <v>17</v>
      </c>
      <c r="H6" s="375">
        <v>1</v>
      </c>
      <c r="I6" s="375">
        <v>0</v>
      </c>
      <c r="J6" s="375">
        <v>9</v>
      </c>
      <c r="K6" s="375">
        <v>8</v>
      </c>
      <c r="L6" s="375">
        <v>0</v>
      </c>
      <c r="M6" s="375">
        <v>0</v>
      </c>
      <c r="N6" s="375">
        <v>2</v>
      </c>
      <c r="O6" s="375">
        <v>0</v>
      </c>
      <c r="P6" s="375">
        <v>0</v>
      </c>
      <c r="Q6" s="375">
        <v>0</v>
      </c>
      <c r="R6" s="375">
        <v>3</v>
      </c>
      <c r="S6" s="625"/>
      <c r="T6" s="163" t="s">
        <v>471</v>
      </c>
      <c r="U6" s="164" t="s">
        <v>472</v>
      </c>
      <c r="V6" s="162" t="s">
        <v>100</v>
      </c>
      <c r="W6" s="162" t="s">
        <v>100</v>
      </c>
      <c r="X6" s="159"/>
      <c r="Y6" s="379"/>
      <c r="Z6" s="337">
        <v>1</v>
      </c>
      <c r="AA6" s="337">
        <v>1</v>
      </c>
      <c r="AB6" s="337">
        <v>0</v>
      </c>
      <c r="AC6" s="338">
        <v>0</v>
      </c>
      <c r="AD6" s="337">
        <v>0</v>
      </c>
      <c r="AE6" s="337">
        <v>0</v>
      </c>
      <c r="AF6" s="337">
        <v>0</v>
      </c>
      <c r="AG6" s="338">
        <v>0</v>
      </c>
      <c r="AH6" s="337">
        <v>1</v>
      </c>
      <c r="AI6" s="337">
        <v>1</v>
      </c>
      <c r="AJ6" s="337">
        <v>0</v>
      </c>
      <c r="AK6" s="338">
        <v>0</v>
      </c>
      <c r="AL6" s="337">
        <v>0</v>
      </c>
      <c r="AM6" s="337">
        <v>0</v>
      </c>
      <c r="AN6" s="337">
        <v>0</v>
      </c>
      <c r="AO6" s="338">
        <v>0</v>
      </c>
      <c r="AU6" s="517" t="s">
        <v>506</v>
      </c>
      <c r="AV6" s="518">
        <v>17</v>
      </c>
    </row>
    <row r="7" spans="1:48" ht="14.95" customHeight="1" thickBot="1" x14ac:dyDescent="0.3">
      <c r="A7" s="170" t="s">
        <v>476</v>
      </c>
      <c r="B7" s="171" t="s">
        <v>161</v>
      </c>
      <c r="C7" s="171" t="s">
        <v>36</v>
      </c>
      <c r="D7" s="171" t="s">
        <v>477</v>
      </c>
      <c r="E7" s="172" t="s">
        <v>3</v>
      </c>
      <c r="F7" s="172">
        <v>20</v>
      </c>
      <c r="G7" s="172">
        <v>50</v>
      </c>
      <c r="H7" s="374" t="s">
        <v>69</v>
      </c>
      <c r="I7" s="374" t="s">
        <v>69</v>
      </c>
      <c r="J7" s="374">
        <v>3</v>
      </c>
      <c r="K7" s="374">
        <v>1</v>
      </c>
      <c r="L7" s="374">
        <v>0</v>
      </c>
      <c r="M7" s="374">
        <v>1</v>
      </c>
      <c r="N7" s="374">
        <v>0</v>
      </c>
      <c r="O7" s="374">
        <v>0</v>
      </c>
      <c r="P7" s="374" t="s">
        <v>69</v>
      </c>
      <c r="Q7" s="374" t="s">
        <v>69</v>
      </c>
      <c r="R7" s="374">
        <v>8</v>
      </c>
      <c r="S7" s="639"/>
      <c r="T7" s="174" t="s">
        <v>479</v>
      </c>
      <c r="U7" s="175" t="s">
        <v>114</v>
      </c>
      <c r="V7" s="173" t="s">
        <v>480</v>
      </c>
      <c r="W7" s="173" t="s">
        <v>100</v>
      </c>
      <c r="X7" s="176" t="s">
        <v>128</v>
      </c>
      <c r="Y7" s="380" t="s">
        <v>179</v>
      </c>
      <c r="Z7" s="176">
        <v>1</v>
      </c>
      <c r="AA7" s="176">
        <v>0</v>
      </c>
      <c r="AB7" s="176">
        <v>0</v>
      </c>
      <c r="AC7" s="342">
        <v>1</v>
      </c>
      <c r="AD7" s="176">
        <v>1</v>
      </c>
      <c r="AE7" s="176">
        <v>0</v>
      </c>
      <c r="AF7" s="176">
        <v>0</v>
      </c>
      <c r="AG7" s="342">
        <v>1</v>
      </c>
      <c r="AH7" s="176">
        <v>0</v>
      </c>
      <c r="AI7" s="176">
        <v>0</v>
      </c>
      <c r="AJ7" s="176">
        <v>0</v>
      </c>
      <c r="AK7" s="342">
        <v>0</v>
      </c>
      <c r="AL7" s="176">
        <v>0</v>
      </c>
      <c r="AM7" s="176">
        <v>0</v>
      </c>
      <c r="AN7" s="176">
        <v>0</v>
      </c>
      <c r="AO7" s="342">
        <v>0</v>
      </c>
      <c r="AU7" s="517" t="s">
        <v>507</v>
      </c>
      <c r="AV7" s="518">
        <v>268</v>
      </c>
    </row>
    <row r="8" spans="1:48" ht="14.95" customHeight="1" thickBot="1" x14ac:dyDescent="0.3">
      <c r="A8" s="170" t="s">
        <v>483</v>
      </c>
      <c r="B8" s="171" t="s">
        <v>161</v>
      </c>
      <c r="C8" s="171" t="s">
        <v>36</v>
      </c>
      <c r="D8" s="171" t="s">
        <v>490</v>
      </c>
      <c r="E8" s="172" t="s">
        <v>3</v>
      </c>
      <c r="F8" s="172">
        <v>5</v>
      </c>
      <c r="G8" s="172">
        <v>33</v>
      </c>
      <c r="H8" s="374" t="s">
        <v>69</v>
      </c>
      <c r="I8" s="374" t="s">
        <v>69</v>
      </c>
      <c r="J8" s="374">
        <v>1</v>
      </c>
      <c r="K8" s="374">
        <v>0</v>
      </c>
      <c r="L8" s="374">
        <v>0</v>
      </c>
      <c r="M8" s="374">
        <v>0</v>
      </c>
      <c r="N8" s="374">
        <v>1</v>
      </c>
      <c r="O8" s="374">
        <v>0</v>
      </c>
      <c r="P8" s="374" t="s">
        <v>69</v>
      </c>
      <c r="Q8" s="374" t="s">
        <v>69</v>
      </c>
      <c r="R8" s="374">
        <v>5</v>
      </c>
      <c r="S8" s="639"/>
      <c r="T8" s="174" t="s">
        <v>492</v>
      </c>
      <c r="U8" s="176" t="s">
        <v>128</v>
      </c>
      <c r="V8" s="173" t="s">
        <v>493</v>
      </c>
      <c r="W8" s="173" t="s">
        <v>100</v>
      </c>
      <c r="X8" s="176" t="s">
        <v>146</v>
      </c>
      <c r="Y8" s="380" t="s">
        <v>179</v>
      </c>
      <c r="Z8" s="176">
        <v>1</v>
      </c>
      <c r="AA8" s="176">
        <v>0</v>
      </c>
      <c r="AB8" s="176">
        <v>0</v>
      </c>
      <c r="AC8" s="342">
        <v>1</v>
      </c>
      <c r="AD8" s="176">
        <v>1</v>
      </c>
      <c r="AE8" s="176">
        <v>0</v>
      </c>
      <c r="AF8" s="176">
        <v>0</v>
      </c>
      <c r="AG8" s="342">
        <v>1</v>
      </c>
      <c r="AH8" s="176">
        <v>0</v>
      </c>
      <c r="AI8" s="176">
        <v>0</v>
      </c>
      <c r="AJ8" s="176">
        <v>0</v>
      </c>
      <c r="AK8" s="342">
        <v>0</v>
      </c>
      <c r="AL8" s="176">
        <v>0</v>
      </c>
      <c r="AM8" s="176">
        <v>0</v>
      </c>
      <c r="AN8" s="176">
        <v>0</v>
      </c>
      <c r="AO8" s="342">
        <v>0</v>
      </c>
    </row>
    <row r="9" spans="1:48" ht="14.95" customHeight="1" thickBot="1" x14ac:dyDescent="0.35">
      <c r="A9" s="187" t="s">
        <v>245</v>
      </c>
      <c r="B9" s="188" t="s">
        <v>231</v>
      </c>
      <c r="C9" s="188" t="s">
        <v>243</v>
      </c>
      <c r="D9" s="188" t="s">
        <v>235</v>
      </c>
      <c r="E9" s="184" t="s">
        <v>1</v>
      </c>
      <c r="F9" s="184">
        <v>66</v>
      </c>
      <c r="G9" s="184">
        <v>6</v>
      </c>
      <c r="H9" s="373">
        <v>1</v>
      </c>
      <c r="I9" s="373">
        <v>0</v>
      </c>
      <c r="J9" s="373">
        <v>10</v>
      </c>
      <c r="K9" s="373">
        <v>8</v>
      </c>
      <c r="L9" s="373">
        <v>0</v>
      </c>
      <c r="M9" s="373">
        <v>0</v>
      </c>
      <c r="N9" s="373">
        <v>0</v>
      </c>
      <c r="O9" s="373">
        <v>0</v>
      </c>
      <c r="P9" s="373">
        <v>0</v>
      </c>
      <c r="Q9" s="373">
        <v>0</v>
      </c>
      <c r="R9" s="373">
        <v>0</v>
      </c>
      <c r="S9" s="391">
        <v>13053</v>
      </c>
      <c r="T9" s="192" t="s">
        <v>481</v>
      </c>
      <c r="U9" s="190" t="s">
        <v>247</v>
      </c>
      <c r="V9" s="189" t="s">
        <v>110</v>
      </c>
      <c r="W9" s="189" t="s">
        <v>141</v>
      </c>
      <c r="X9" s="186" t="s">
        <v>117</v>
      </c>
      <c r="Y9" s="186" t="s">
        <v>163</v>
      </c>
      <c r="Z9" s="186">
        <v>1</v>
      </c>
      <c r="AA9" s="186">
        <v>1</v>
      </c>
      <c r="AB9" s="186">
        <v>0</v>
      </c>
      <c r="AC9" s="341">
        <v>0</v>
      </c>
      <c r="AD9" s="186">
        <v>0</v>
      </c>
      <c r="AE9" s="186">
        <v>0</v>
      </c>
      <c r="AF9" s="186">
        <v>0</v>
      </c>
      <c r="AG9" s="341">
        <v>0</v>
      </c>
      <c r="AH9" s="186">
        <v>0</v>
      </c>
      <c r="AI9" s="186">
        <v>0</v>
      </c>
      <c r="AJ9" s="186">
        <v>0</v>
      </c>
      <c r="AK9" s="341">
        <v>0</v>
      </c>
      <c r="AL9" s="186">
        <v>1</v>
      </c>
      <c r="AM9" s="186">
        <v>1</v>
      </c>
      <c r="AN9" s="186">
        <v>0</v>
      </c>
      <c r="AO9" s="341">
        <v>0</v>
      </c>
    </row>
    <row r="10" spans="1:48" ht="14.95" customHeight="1" thickBot="1" x14ac:dyDescent="0.35">
      <c r="A10" s="187" t="s">
        <v>242</v>
      </c>
      <c r="B10" s="188" t="s">
        <v>231</v>
      </c>
      <c r="C10" s="188" t="s">
        <v>32</v>
      </c>
      <c r="D10" s="188" t="s">
        <v>206</v>
      </c>
      <c r="E10" s="184" t="s">
        <v>1</v>
      </c>
      <c r="F10" s="184">
        <v>29</v>
      </c>
      <c r="G10" s="184">
        <v>24</v>
      </c>
      <c r="H10" s="373">
        <v>1</v>
      </c>
      <c r="I10" s="373">
        <v>0</v>
      </c>
      <c r="J10" s="373">
        <v>5</v>
      </c>
      <c r="K10" s="373">
        <v>2</v>
      </c>
      <c r="L10" s="373">
        <v>0</v>
      </c>
      <c r="M10" s="373">
        <v>0</v>
      </c>
      <c r="N10" s="373">
        <v>0</v>
      </c>
      <c r="O10" s="373">
        <v>0</v>
      </c>
      <c r="P10" s="373">
        <v>1</v>
      </c>
      <c r="Q10" s="373">
        <v>1</v>
      </c>
      <c r="R10" s="373">
        <v>4</v>
      </c>
      <c r="S10" s="391">
        <v>6045</v>
      </c>
      <c r="T10" s="192" t="s">
        <v>736</v>
      </c>
      <c r="U10" s="190" t="s">
        <v>159</v>
      </c>
      <c r="V10" s="189" t="s">
        <v>139</v>
      </c>
      <c r="W10" s="189" t="s">
        <v>110</v>
      </c>
      <c r="X10" s="186" t="s">
        <v>128</v>
      </c>
      <c r="Y10" s="389" t="s">
        <v>131</v>
      </c>
      <c r="Z10" s="186">
        <v>1</v>
      </c>
      <c r="AA10" s="186">
        <v>1</v>
      </c>
      <c r="AB10" s="186">
        <v>0</v>
      </c>
      <c r="AC10" s="341">
        <v>0</v>
      </c>
      <c r="AD10" s="186">
        <v>0</v>
      </c>
      <c r="AE10" s="186">
        <v>0</v>
      </c>
      <c r="AF10" s="186">
        <v>0</v>
      </c>
      <c r="AG10" s="341">
        <v>0</v>
      </c>
      <c r="AH10" s="186">
        <v>0</v>
      </c>
      <c r="AI10" s="186">
        <v>0</v>
      </c>
      <c r="AJ10" s="186">
        <v>0</v>
      </c>
      <c r="AK10" s="341">
        <v>0</v>
      </c>
      <c r="AL10" s="186">
        <v>1</v>
      </c>
      <c r="AM10" s="186">
        <v>1</v>
      </c>
      <c r="AN10" s="186">
        <v>0</v>
      </c>
      <c r="AO10" s="341">
        <v>0</v>
      </c>
    </row>
    <row r="11" spans="1:48" ht="14.95" customHeight="1" thickBot="1" x14ac:dyDescent="0.3">
      <c r="A11" s="187" t="s">
        <v>174</v>
      </c>
      <c r="B11" s="188" t="s">
        <v>231</v>
      </c>
      <c r="C11" s="188" t="s">
        <v>33</v>
      </c>
      <c r="D11" s="188" t="s">
        <v>235</v>
      </c>
      <c r="E11" s="184" t="s">
        <v>3</v>
      </c>
      <c r="F11" s="184">
        <v>10</v>
      </c>
      <c r="G11" s="184">
        <v>57</v>
      </c>
      <c r="H11" s="373">
        <v>0</v>
      </c>
      <c r="I11" s="373">
        <v>0</v>
      </c>
      <c r="J11" s="373">
        <v>1</v>
      </c>
      <c r="K11" s="373">
        <v>1</v>
      </c>
      <c r="L11" s="373">
        <v>0</v>
      </c>
      <c r="M11" s="373">
        <v>1</v>
      </c>
      <c r="N11" s="373">
        <v>0</v>
      </c>
      <c r="O11" s="373">
        <v>1</v>
      </c>
      <c r="P11" s="373">
        <v>1</v>
      </c>
      <c r="Q11" s="373">
        <v>0</v>
      </c>
      <c r="R11" s="373">
        <v>9</v>
      </c>
      <c r="S11" s="186">
        <v>13268</v>
      </c>
      <c r="T11" s="198" t="s">
        <v>794</v>
      </c>
      <c r="U11" s="392" t="s">
        <v>114</v>
      </c>
      <c r="V11" s="186" t="s">
        <v>141</v>
      </c>
      <c r="W11" s="186" t="s">
        <v>115</v>
      </c>
      <c r="X11" s="186" t="s">
        <v>272</v>
      </c>
      <c r="Y11" s="341" t="s">
        <v>163</v>
      </c>
      <c r="Z11" s="186">
        <v>1</v>
      </c>
      <c r="AA11" s="186">
        <v>0</v>
      </c>
      <c r="AB11" s="186">
        <v>0</v>
      </c>
      <c r="AC11" s="341">
        <v>1</v>
      </c>
      <c r="AD11" s="186">
        <v>0</v>
      </c>
      <c r="AE11" s="186">
        <v>0</v>
      </c>
      <c r="AF11" s="186">
        <v>0</v>
      </c>
      <c r="AG11" s="341">
        <v>0</v>
      </c>
      <c r="AH11" s="186">
        <v>0</v>
      </c>
      <c r="AI11" s="186">
        <v>0</v>
      </c>
      <c r="AJ11" s="186">
        <v>0</v>
      </c>
      <c r="AK11" s="341">
        <v>0</v>
      </c>
      <c r="AL11" s="186">
        <v>1</v>
      </c>
      <c r="AM11" s="186">
        <v>0</v>
      </c>
      <c r="AN11" s="186">
        <v>0</v>
      </c>
      <c r="AO11" s="341">
        <v>1</v>
      </c>
    </row>
    <row r="12" spans="1:48" ht="14.95" thickBot="1" x14ac:dyDescent="0.3">
      <c r="A12" s="201" t="s">
        <v>597</v>
      </c>
      <c r="B12" s="202" t="s">
        <v>700</v>
      </c>
      <c r="C12" s="202" t="s">
        <v>72</v>
      </c>
      <c r="D12" s="202" t="s">
        <v>241</v>
      </c>
      <c r="E12" s="134" t="s">
        <v>3</v>
      </c>
      <c r="F12" s="184">
        <v>17</v>
      </c>
      <c r="G12" s="184">
        <v>46</v>
      </c>
      <c r="H12" s="373" t="s">
        <v>69</v>
      </c>
      <c r="I12" s="373" t="s">
        <v>69</v>
      </c>
      <c r="J12" s="373">
        <v>3</v>
      </c>
      <c r="K12" s="373">
        <v>1</v>
      </c>
      <c r="L12" s="373">
        <v>0</v>
      </c>
      <c r="M12" s="373">
        <v>0</v>
      </c>
      <c r="N12" s="373">
        <v>0</v>
      </c>
      <c r="O12" s="373">
        <v>0</v>
      </c>
      <c r="P12" s="373" t="s">
        <v>69</v>
      </c>
      <c r="Q12" s="373" t="s">
        <v>69</v>
      </c>
      <c r="R12" s="373">
        <v>8</v>
      </c>
      <c r="S12" s="373">
        <v>12116</v>
      </c>
      <c r="T12" s="673" t="s">
        <v>802</v>
      </c>
      <c r="U12" s="186" t="s">
        <v>116</v>
      </c>
      <c r="V12" s="186" t="s">
        <v>141</v>
      </c>
      <c r="W12" s="186" t="s">
        <v>136</v>
      </c>
      <c r="X12" s="186" t="s">
        <v>159</v>
      </c>
      <c r="Y12" s="186" t="s">
        <v>252</v>
      </c>
      <c r="Z12" s="341">
        <v>1</v>
      </c>
      <c r="AA12" s="341">
        <v>0</v>
      </c>
      <c r="AB12" s="341">
        <v>0</v>
      </c>
      <c r="AC12" s="341">
        <v>1</v>
      </c>
      <c r="AD12" s="341">
        <v>0</v>
      </c>
      <c r="AE12" s="341">
        <v>0</v>
      </c>
      <c r="AF12" s="341">
        <v>0</v>
      </c>
      <c r="AG12" s="341">
        <v>0</v>
      </c>
      <c r="AH12" s="341">
        <v>0</v>
      </c>
      <c r="AI12" s="341">
        <v>0</v>
      </c>
      <c r="AJ12" s="341">
        <v>0</v>
      </c>
      <c r="AK12" s="341">
        <v>0</v>
      </c>
      <c r="AL12" s="341">
        <v>1</v>
      </c>
      <c r="AM12" s="341">
        <v>0</v>
      </c>
      <c r="AN12" s="341">
        <v>0</v>
      </c>
      <c r="AO12" s="341">
        <v>1</v>
      </c>
    </row>
    <row r="13" spans="1:48" ht="14.95" thickBot="1" x14ac:dyDescent="0.3">
      <c r="A13" s="104"/>
      <c r="B13" s="105"/>
      <c r="C13" s="731" t="s">
        <v>237</v>
      </c>
      <c r="D13" s="732"/>
      <c r="E13" s="733"/>
      <c r="F13" s="457">
        <f>SUM(F9:F12)</f>
        <v>122</v>
      </c>
      <c r="G13" s="457">
        <f t="shared" ref="G13:R13" si="0">SUM(G9:G12)</f>
        <v>133</v>
      </c>
      <c r="H13" s="457">
        <f t="shared" si="0"/>
        <v>2</v>
      </c>
      <c r="I13" s="457">
        <f t="shared" si="0"/>
        <v>0</v>
      </c>
      <c r="J13" s="457">
        <f t="shared" si="0"/>
        <v>19</v>
      </c>
      <c r="K13" s="457">
        <f t="shared" si="0"/>
        <v>12</v>
      </c>
      <c r="L13" s="457">
        <f t="shared" si="0"/>
        <v>0</v>
      </c>
      <c r="M13" s="457">
        <f t="shared" si="0"/>
        <v>1</v>
      </c>
      <c r="N13" s="457">
        <f t="shared" si="0"/>
        <v>0</v>
      </c>
      <c r="O13" s="457">
        <f t="shared" si="0"/>
        <v>1</v>
      </c>
      <c r="P13" s="457">
        <f t="shared" si="0"/>
        <v>2</v>
      </c>
      <c r="Q13" s="457">
        <f t="shared" si="0"/>
        <v>1</v>
      </c>
      <c r="R13" s="457">
        <f t="shared" si="0"/>
        <v>21</v>
      </c>
      <c r="T13" s="458"/>
      <c r="U13" s="458"/>
      <c r="V13" s="458"/>
      <c r="W13" s="458"/>
      <c r="X13" s="459"/>
      <c r="Y13" s="464" t="s">
        <v>237</v>
      </c>
      <c r="Z13" s="457">
        <f t="shared" ref="Z13:AO13" si="1">SUM(Z9:Z12)</f>
        <v>4</v>
      </c>
      <c r="AA13" s="457">
        <f t="shared" si="1"/>
        <v>2</v>
      </c>
      <c r="AB13" s="457">
        <f t="shared" si="1"/>
        <v>0</v>
      </c>
      <c r="AC13" s="457">
        <f t="shared" si="1"/>
        <v>2</v>
      </c>
      <c r="AD13" s="461">
        <f t="shared" si="1"/>
        <v>0</v>
      </c>
      <c r="AE13" s="461">
        <f t="shared" si="1"/>
        <v>0</v>
      </c>
      <c r="AF13" s="461">
        <f t="shared" si="1"/>
        <v>0</v>
      </c>
      <c r="AG13" s="461">
        <f t="shared" si="1"/>
        <v>0</v>
      </c>
      <c r="AH13" s="462">
        <f t="shared" si="1"/>
        <v>0</v>
      </c>
      <c r="AI13" s="462">
        <f t="shared" si="1"/>
        <v>0</v>
      </c>
      <c r="AJ13" s="462">
        <f t="shared" si="1"/>
        <v>0</v>
      </c>
      <c r="AK13" s="462">
        <f t="shared" si="1"/>
        <v>0</v>
      </c>
      <c r="AL13" s="457">
        <f t="shared" si="1"/>
        <v>4</v>
      </c>
      <c r="AM13" s="457">
        <f t="shared" si="1"/>
        <v>2</v>
      </c>
      <c r="AN13" s="457">
        <f t="shared" si="1"/>
        <v>0</v>
      </c>
      <c r="AO13" s="457">
        <f t="shared" si="1"/>
        <v>2</v>
      </c>
    </row>
    <row r="14" spans="1:48" ht="14.95" thickBot="1" x14ac:dyDescent="0.3">
      <c r="A14" s="104"/>
      <c r="B14" s="105"/>
      <c r="C14" s="863" t="s">
        <v>467</v>
      </c>
      <c r="D14" s="864"/>
      <c r="E14" s="865"/>
      <c r="F14" s="287">
        <f>SUM(F4:F6)</f>
        <v>142</v>
      </c>
      <c r="G14" s="287">
        <f t="shared" ref="G14:R14" si="2">SUM(G4:G6)</f>
        <v>36</v>
      </c>
      <c r="H14" s="287">
        <f t="shared" si="2"/>
        <v>2</v>
      </c>
      <c r="I14" s="287">
        <f t="shared" si="2"/>
        <v>0</v>
      </c>
      <c r="J14" s="287">
        <f t="shared" si="2"/>
        <v>22</v>
      </c>
      <c r="K14" s="287">
        <f t="shared" si="2"/>
        <v>16</v>
      </c>
      <c r="L14" s="287">
        <f t="shared" si="2"/>
        <v>0</v>
      </c>
      <c r="M14" s="287">
        <f t="shared" si="2"/>
        <v>0</v>
      </c>
      <c r="N14" s="287">
        <f t="shared" si="2"/>
        <v>5</v>
      </c>
      <c r="O14" s="287">
        <f t="shared" si="2"/>
        <v>0</v>
      </c>
      <c r="P14" s="287">
        <f t="shared" si="2"/>
        <v>0</v>
      </c>
      <c r="Q14" s="287">
        <f t="shared" si="2"/>
        <v>1</v>
      </c>
      <c r="R14" s="287">
        <f t="shared" si="2"/>
        <v>6</v>
      </c>
      <c r="T14" s="288"/>
      <c r="U14" s="288"/>
      <c r="V14" s="288"/>
      <c r="W14" s="288"/>
      <c r="X14" s="289"/>
      <c r="Y14" s="290" t="s">
        <v>467</v>
      </c>
      <c r="Z14" s="287">
        <f t="shared" ref="Z14:AO14" si="3">SUM(Z4:Z6)</f>
        <v>3</v>
      </c>
      <c r="AA14" s="287">
        <f t="shared" si="3"/>
        <v>3</v>
      </c>
      <c r="AB14" s="287">
        <f t="shared" si="3"/>
        <v>0</v>
      </c>
      <c r="AC14" s="287">
        <f t="shared" si="3"/>
        <v>0</v>
      </c>
      <c r="AD14" s="291">
        <f t="shared" si="3"/>
        <v>0</v>
      </c>
      <c r="AE14" s="291">
        <f t="shared" si="3"/>
        <v>0</v>
      </c>
      <c r="AF14" s="291">
        <f t="shared" si="3"/>
        <v>0</v>
      </c>
      <c r="AG14" s="291">
        <f t="shared" si="3"/>
        <v>0</v>
      </c>
      <c r="AH14" s="292">
        <f t="shared" si="3"/>
        <v>1</v>
      </c>
      <c r="AI14" s="292">
        <f t="shared" si="3"/>
        <v>1</v>
      </c>
      <c r="AJ14" s="292">
        <f t="shared" si="3"/>
        <v>0</v>
      </c>
      <c r="AK14" s="292">
        <f t="shared" si="3"/>
        <v>0</v>
      </c>
      <c r="AL14" s="287">
        <f t="shared" si="3"/>
        <v>2</v>
      </c>
      <c r="AM14" s="287">
        <f t="shared" si="3"/>
        <v>2</v>
      </c>
      <c r="AN14" s="287">
        <f t="shared" si="3"/>
        <v>0</v>
      </c>
      <c r="AO14" s="287">
        <f t="shared" si="3"/>
        <v>0</v>
      </c>
    </row>
    <row r="15" spans="1:48" ht="14.3" customHeight="1" thickBot="1" x14ac:dyDescent="0.3">
      <c r="A15" s="104"/>
      <c r="B15" s="105"/>
      <c r="C15" s="728" t="s">
        <v>70</v>
      </c>
      <c r="D15" s="729"/>
      <c r="E15" s="730"/>
      <c r="F15" s="128">
        <f>SUM(F3:F12)</f>
        <v>337</v>
      </c>
      <c r="G15" s="128">
        <f t="shared" ref="G15:R15" si="4">SUM(G3:G12)</f>
        <v>278</v>
      </c>
      <c r="H15" s="128">
        <f t="shared" si="4"/>
        <v>4</v>
      </c>
      <c r="I15" s="128">
        <f t="shared" si="4"/>
        <v>0</v>
      </c>
      <c r="J15" s="128">
        <f t="shared" si="4"/>
        <v>53</v>
      </c>
      <c r="K15" s="128">
        <f t="shared" si="4"/>
        <v>33</v>
      </c>
      <c r="L15" s="128">
        <f t="shared" si="4"/>
        <v>0</v>
      </c>
      <c r="M15" s="128">
        <f t="shared" si="4"/>
        <v>2</v>
      </c>
      <c r="N15" s="128">
        <f t="shared" si="4"/>
        <v>7</v>
      </c>
      <c r="O15" s="128">
        <f t="shared" si="4"/>
        <v>1</v>
      </c>
      <c r="P15" s="128">
        <f t="shared" si="4"/>
        <v>2</v>
      </c>
      <c r="Q15" s="128">
        <f t="shared" si="4"/>
        <v>2</v>
      </c>
      <c r="R15" s="128">
        <f t="shared" si="4"/>
        <v>44</v>
      </c>
      <c r="T15" s="197"/>
      <c r="U15" s="197"/>
      <c r="V15" s="197"/>
      <c r="W15" s="197"/>
      <c r="X15" s="12"/>
      <c r="Y15" s="133" t="s">
        <v>70</v>
      </c>
      <c r="Z15" s="128">
        <f t="shared" ref="Z15:AO15" si="5">SUM(Z3:Z12)</f>
        <v>10</v>
      </c>
      <c r="AA15" s="128">
        <f t="shared" si="5"/>
        <v>6</v>
      </c>
      <c r="AB15" s="128">
        <f t="shared" si="5"/>
        <v>0</v>
      </c>
      <c r="AC15" s="128">
        <f t="shared" si="5"/>
        <v>4</v>
      </c>
      <c r="AD15" s="126">
        <f t="shared" si="5"/>
        <v>2</v>
      </c>
      <c r="AE15" s="126">
        <f t="shared" si="5"/>
        <v>0</v>
      </c>
      <c r="AF15" s="126">
        <f t="shared" si="5"/>
        <v>0</v>
      </c>
      <c r="AG15" s="126">
        <f t="shared" si="5"/>
        <v>2</v>
      </c>
      <c r="AH15" s="127">
        <f t="shared" si="5"/>
        <v>2</v>
      </c>
      <c r="AI15" s="127">
        <f t="shared" si="5"/>
        <v>2</v>
      </c>
      <c r="AJ15" s="127">
        <f t="shared" si="5"/>
        <v>0</v>
      </c>
      <c r="AK15" s="127">
        <f t="shared" si="5"/>
        <v>0</v>
      </c>
      <c r="AL15" s="128">
        <f t="shared" si="5"/>
        <v>6</v>
      </c>
      <c r="AM15" s="128">
        <f t="shared" si="5"/>
        <v>4</v>
      </c>
      <c r="AN15" s="128">
        <f t="shared" si="5"/>
        <v>0</v>
      </c>
      <c r="AO15" s="128">
        <f t="shared" si="5"/>
        <v>2</v>
      </c>
    </row>
    <row r="16" spans="1:48" x14ac:dyDescent="0.25">
      <c r="A16" s="727" t="s">
        <v>53</v>
      </c>
      <c r="B16" s="687"/>
      <c r="C16" s="687"/>
      <c r="D16" s="687"/>
      <c r="E16" s="687"/>
      <c r="F16" s="687"/>
      <c r="G16" s="687"/>
      <c r="H16" s="687"/>
      <c r="I16" s="687"/>
      <c r="J16" s="687"/>
      <c r="K16" s="687"/>
      <c r="L16" s="687"/>
      <c r="M16" s="687"/>
      <c r="N16" s="687"/>
      <c r="O16" s="687"/>
      <c r="P16" s="687"/>
      <c r="Q16" s="687"/>
      <c r="R16" s="687"/>
    </row>
    <row r="17" spans="1:41" x14ac:dyDescent="0.25">
      <c r="A17" s="410" t="s">
        <v>440</v>
      </c>
    </row>
    <row r="18" spans="1:41" x14ac:dyDescent="0.25">
      <c r="A18" s="410" t="s">
        <v>491</v>
      </c>
    </row>
    <row r="19" spans="1:41" x14ac:dyDescent="0.25">
      <c r="A19" t="s">
        <v>573</v>
      </c>
    </row>
    <row r="20" spans="1:41" x14ac:dyDescent="0.25">
      <c r="A20" t="s">
        <v>568</v>
      </c>
      <c r="S20" s="73"/>
    </row>
    <row r="21" spans="1:41" x14ac:dyDescent="0.25">
      <c r="A21" s="727" t="s">
        <v>797</v>
      </c>
      <c r="B21" s="687"/>
      <c r="C21" s="687"/>
      <c r="D21" s="687"/>
      <c r="E21" s="687"/>
      <c r="F21" s="687"/>
      <c r="G21" s="687"/>
      <c r="H21" s="687"/>
      <c r="I21" s="687"/>
      <c r="J21" s="687"/>
      <c r="K21" s="687"/>
      <c r="L21" s="687"/>
      <c r="M21" s="687"/>
      <c r="N21" s="687"/>
      <c r="O21" s="687"/>
      <c r="P21" s="687"/>
      <c r="Q21" s="687"/>
      <c r="R21" s="687"/>
      <c r="S21" s="73"/>
    </row>
    <row r="22" spans="1:41" x14ac:dyDescent="0.25">
      <c r="A22" t="s">
        <v>75</v>
      </c>
      <c r="S22" s="73"/>
    </row>
    <row r="23" spans="1:41" x14ac:dyDescent="0.25">
      <c r="A23" s="313"/>
      <c r="B23" s="73" t="s">
        <v>40</v>
      </c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</row>
    <row r="24" spans="1:41" x14ac:dyDescent="0.25">
      <c r="A24" s="314"/>
      <c r="B24" s="73" t="s">
        <v>38</v>
      </c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</row>
    <row r="25" spans="1:41" x14ac:dyDescent="0.25">
      <c r="A25" s="315"/>
      <c r="B25" s="73" t="s">
        <v>39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</row>
    <row r="26" spans="1:41" ht="16.3" x14ac:dyDescent="0.3">
      <c r="A26" s="681" t="s">
        <v>28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</row>
  </sheetData>
  <mergeCells count="15">
    <mergeCell ref="A21:R21"/>
    <mergeCell ref="AH1:AK1"/>
    <mergeCell ref="AL1:AO1"/>
    <mergeCell ref="C13:E13"/>
    <mergeCell ref="A1:C1"/>
    <mergeCell ref="E1:G1"/>
    <mergeCell ref="H1:I1"/>
    <mergeCell ref="J1:M1"/>
    <mergeCell ref="N1:O1"/>
    <mergeCell ref="P1:R1"/>
    <mergeCell ref="A16:R16"/>
    <mergeCell ref="C14:E14"/>
    <mergeCell ref="C15:E15"/>
    <mergeCell ref="Z1:AC1"/>
    <mergeCell ref="AD1:AG1"/>
  </mergeCells>
  <pageMargins left="0.7" right="0.7" top="0.75" bottom="0.75" header="0.3" footer="0.3"/>
  <pageSetup paperSize="9" orientation="portrait" r:id="rId1"/>
  <ignoredErrors>
    <ignoredError sqref="F13:AO14" formulaRange="1"/>
    <ignoredError sqref="T7 T11" twoDigitTextYear="1"/>
  </ignoredError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3357C-D821-4012-AB20-7294F6F9E0E8}">
  <dimension ref="A1:AV27"/>
  <sheetViews>
    <sheetView workbookViewId="0">
      <selection activeCell="A27" sqref="A27"/>
    </sheetView>
  </sheetViews>
  <sheetFormatPr defaultRowHeight="14.95" customHeight="1" x14ac:dyDescent="0.25"/>
  <cols>
    <col min="1" max="1" width="7.5" customWidth="1"/>
    <col min="2" max="2" width="5.5" customWidth="1"/>
    <col min="3" max="3" width="11.5" customWidth="1"/>
    <col min="4" max="4" width="4.125" customWidth="1"/>
    <col min="5" max="18" width="3.75" customWidth="1"/>
    <col min="19" max="20" width="6.625" customWidth="1"/>
    <col min="21" max="23" width="21.875" bestFit="1" customWidth="1"/>
    <col min="24" max="25" width="24.375" bestFit="1" customWidth="1"/>
    <col min="26" max="41" width="3.75" customWidth="1"/>
    <col min="46" max="47" width="9.875" bestFit="1" customWidth="1"/>
  </cols>
  <sheetData>
    <row r="1" spans="1:48" ht="14.95" customHeight="1" thickBot="1" x14ac:dyDescent="0.3">
      <c r="A1" s="874" t="s">
        <v>309</v>
      </c>
      <c r="B1" s="875"/>
      <c r="C1" s="875"/>
      <c r="D1" s="411"/>
      <c r="E1" s="876" t="s">
        <v>24</v>
      </c>
      <c r="F1" s="877"/>
      <c r="G1" s="878"/>
      <c r="H1" s="876" t="s">
        <v>74</v>
      </c>
      <c r="I1" s="878"/>
      <c r="J1" s="879" t="s">
        <v>6</v>
      </c>
      <c r="K1" s="880"/>
      <c r="L1" s="880"/>
      <c r="M1" s="881"/>
      <c r="N1" s="879" t="s">
        <v>7</v>
      </c>
      <c r="O1" s="881"/>
      <c r="P1" s="879" t="s">
        <v>25</v>
      </c>
      <c r="Q1" s="880"/>
      <c r="R1" s="881"/>
      <c r="S1" s="554" t="s">
        <v>8</v>
      </c>
      <c r="T1" s="412" t="s">
        <v>9</v>
      </c>
      <c r="U1" s="413" t="s">
        <v>10</v>
      </c>
      <c r="V1" s="413" t="s">
        <v>11</v>
      </c>
      <c r="W1" s="413" t="s">
        <v>109</v>
      </c>
      <c r="X1" s="413" t="s">
        <v>26</v>
      </c>
      <c r="Y1" s="413" t="s">
        <v>27</v>
      </c>
      <c r="Z1" s="868" t="s">
        <v>20</v>
      </c>
      <c r="AA1" s="869"/>
      <c r="AB1" s="869"/>
      <c r="AC1" s="870"/>
      <c r="AD1" s="868" t="s">
        <v>56</v>
      </c>
      <c r="AE1" s="869"/>
      <c r="AF1" s="869"/>
      <c r="AG1" s="870"/>
      <c r="AH1" s="868" t="s">
        <v>57</v>
      </c>
      <c r="AI1" s="869"/>
      <c r="AJ1" s="869"/>
      <c r="AK1" s="870"/>
      <c r="AL1" s="868" t="s">
        <v>58</v>
      </c>
      <c r="AM1" s="869"/>
      <c r="AN1" s="869"/>
      <c r="AO1" s="870"/>
    </row>
    <row r="2" spans="1:48" ht="14.95" customHeight="1" thickBot="1" x14ac:dyDescent="0.3">
      <c r="A2" s="414" t="s">
        <v>19</v>
      </c>
      <c r="B2" s="415" t="s">
        <v>18</v>
      </c>
      <c r="C2" s="416" t="s">
        <v>17</v>
      </c>
      <c r="D2" s="416" t="s">
        <v>37</v>
      </c>
      <c r="E2" s="417" t="s">
        <v>16</v>
      </c>
      <c r="F2" s="417" t="s">
        <v>4</v>
      </c>
      <c r="G2" s="417" t="s">
        <v>5</v>
      </c>
      <c r="H2" s="418" t="s">
        <v>12</v>
      </c>
      <c r="I2" s="418" t="s">
        <v>3</v>
      </c>
      <c r="J2" s="418" t="s">
        <v>12</v>
      </c>
      <c r="K2" s="418" t="s">
        <v>13</v>
      </c>
      <c r="L2" s="418" t="s">
        <v>2</v>
      </c>
      <c r="M2" s="418" t="s">
        <v>14</v>
      </c>
      <c r="N2" s="418" t="s">
        <v>15</v>
      </c>
      <c r="O2" s="418" t="s">
        <v>16</v>
      </c>
      <c r="P2" s="418" t="s">
        <v>21</v>
      </c>
      <c r="Q2" s="418" t="s">
        <v>22</v>
      </c>
      <c r="R2" s="418" t="s">
        <v>12</v>
      </c>
      <c r="S2" s="642"/>
      <c r="T2" s="419"/>
      <c r="U2" s="420"/>
      <c r="V2" s="421"/>
      <c r="W2" s="421"/>
      <c r="X2" s="413"/>
      <c r="Y2" s="422"/>
      <c r="Z2" s="423" t="s">
        <v>0</v>
      </c>
      <c r="AA2" s="423" t="s">
        <v>1</v>
      </c>
      <c r="AB2" s="423" t="s">
        <v>2</v>
      </c>
      <c r="AC2" s="423" t="s">
        <v>3</v>
      </c>
      <c r="AD2" s="423" t="s">
        <v>0</v>
      </c>
      <c r="AE2" s="423" t="s">
        <v>1</v>
      </c>
      <c r="AF2" s="423" t="s">
        <v>2</v>
      </c>
      <c r="AG2" s="423" t="s">
        <v>3</v>
      </c>
      <c r="AH2" s="423" t="s">
        <v>0</v>
      </c>
      <c r="AI2" s="423" t="s">
        <v>1</v>
      </c>
      <c r="AJ2" s="423" t="s">
        <v>2</v>
      </c>
      <c r="AK2" s="423" t="s">
        <v>3</v>
      </c>
      <c r="AL2" s="423" t="s">
        <v>0</v>
      </c>
      <c r="AM2" s="423" t="s">
        <v>1</v>
      </c>
      <c r="AN2" s="423" t="s">
        <v>2</v>
      </c>
      <c r="AO2" s="423" t="s">
        <v>3</v>
      </c>
      <c r="AU2" s="73" t="s">
        <v>508</v>
      </c>
    </row>
    <row r="3" spans="1:48" ht="14.95" customHeight="1" thickBot="1" x14ac:dyDescent="0.35">
      <c r="A3" s="531" t="s">
        <v>207</v>
      </c>
      <c r="B3" s="532" t="s">
        <v>161</v>
      </c>
      <c r="C3" s="532" t="s">
        <v>243</v>
      </c>
      <c r="D3" s="532" t="s">
        <v>556</v>
      </c>
      <c r="E3" s="126" t="s">
        <v>1</v>
      </c>
      <c r="F3" s="126">
        <v>41</v>
      </c>
      <c r="G3" s="126">
        <v>12</v>
      </c>
      <c r="H3" s="533" t="s">
        <v>69</v>
      </c>
      <c r="I3" s="533" t="s">
        <v>69</v>
      </c>
      <c r="J3" s="533">
        <v>6</v>
      </c>
      <c r="K3" s="533">
        <v>4</v>
      </c>
      <c r="L3" s="533">
        <v>0</v>
      </c>
      <c r="M3" s="533">
        <v>1</v>
      </c>
      <c r="N3" s="533">
        <v>0</v>
      </c>
      <c r="O3" s="533">
        <v>0</v>
      </c>
      <c r="P3" s="533" t="s">
        <v>69</v>
      </c>
      <c r="Q3" s="533" t="s">
        <v>69</v>
      </c>
      <c r="R3" s="533">
        <v>2</v>
      </c>
      <c r="S3" s="643"/>
      <c r="T3" s="181" t="s">
        <v>557</v>
      </c>
      <c r="U3" s="175" t="s">
        <v>159</v>
      </c>
      <c r="V3" s="173" t="s">
        <v>100</v>
      </c>
      <c r="W3" s="176" t="s">
        <v>100</v>
      </c>
      <c r="X3" s="177" t="s">
        <v>131</v>
      </c>
      <c r="Y3" s="534" t="s">
        <v>132</v>
      </c>
      <c r="Z3" s="655">
        <v>1</v>
      </c>
      <c r="AA3" s="655">
        <v>1</v>
      </c>
      <c r="AB3" s="655">
        <v>0</v>
      </c>
      <c r="AC3" s="656">
        <v>0</v>
      </c>
      <c r="AD3" s="655">
        <v>1</v>
      </c>
      <c r="AE3" s="655">
        <v>1</v>
      </c>
      <c r="AF3" s="655">
        <v>0</v>
      </c>
      <c r="AG3" s="656">
        <v>0</v>
      </c>
      <c r="AH3" s="655">
        <v>0</v>
      </c>
      <c r="AI3" s="655">
        <v>0</v>
      </c>
      <c r="AJ3" s="655">
        <v>0</v>
      </c>
      <c r="AK3" s="656">
        <v>0</v>
      </c>
      <c r="AL3" s="655">
        <v>0</v>
      </c>
      <c r="AM3" s="655">
        <v>0</v>
      </c>
      <c r="AN3" s="655">
        <v>0</v>
      </c>
      <c r="AO3" s="656">
        <v>0</v>
      </c>
      <c r="AU3" s="515" t="s">
        <v>503</v>
      </c>
      <c r="AV3" s="516">
        <v>32</v>
      </c>
    </row>
    <row r="4" spans="1:48" ht="14.95" customHeight="1" thickBot="1" x14ac:dyDescent="0.35">
      <c r="A4" s="155" t="s">
        <v>208</v>
      </c>
      <c r="B4" s="157" t="s">
        <v>311</v>
      </c>
      <c r="C4" s="157" t="s">
        <v>264</v>
      </c>
      <c r="D4" s="157" t="s">
        <v>605</v>
      </c>
      <c r="E4" s="158" t="s">
        <v>1</v>
      </c>
      <c r="F4" s="158">
        <v>19</v>
      </c>
      <c r="G4" s="158">
        <v>7</v>
      </c>
      <c r="H4" s="375">
        <v>0</v>
      </c>
      <c r="I4" s="375">
        <v>0</v>
      </c>
      <c r="J4" s="375">
        <v>3</v>
      </c>
      <c r="K4" s="375">
        <v>2</v>
      </c>
      <c r="L4" s="375">
        <v>0</v>
      </c>
      <c r="M4" s="375">
        <v>0</v>
      </c>
      <c r="N4" s="375">
        <v>1</v>
      </c>
      <c r="O4" s="375">
        <v>0</v>
      </c>
      <c r="P4" s="375">
        <v>0</v>
      </c>
      <c r="Q4" s="375">
        <v>0</v>
      </c>
      <c r="R4" s="375">
        <v>1</v>
      </c>
      <c r="S4" s="644"/>
      <c r="T4" s="163" t="s">
        <v>365</v>
      </c>
      <c r="U4" s="159" t="s">
        <v>132</v>
      </c>
      <c r="V4" s="162" t="s">
        <v>100</v>
      </c>
      <c r="W4" s="164" t="s">
        <v>100</v>
      </c>
      <c r="X4" s="164" t="s">
        <v>603</v>
      </c>
      <c r="Y4" s="159" t="s">
        <v>604</v>
      </c>
      <c r="Z4" s="159">
        <v>1</v>
      </c>
      <c r="AA4" s="159">
        <v>1</v>
      </c>
      <c r="AB4" s="159">
        <v>0</v>
      </c>
      <c r="AC4" s="523">
        <v>0</v>
      </c>
      <c r="AD4" s="159">
        <v>0</v>
      </c>
      <c r="AE4" s="159">
        <v>0</v>
      </c>
      <c r="AF4" s="159">
        <v>0</v>
      </c>
      <c r="AG4" s="523">
        <v>0</v>
      </c>
      <c r="AH4" s="159">
        <v>1</v>
      </c>
      <c r="AI4" s="159">
        <v>1</v>
      </c>
      <c r="AJ4" s="159">
        <v>0</v>
      </c>
      <c r="AK4" s="523">
        <v>0</v>
      </c>
      <c r="AL4" s="159">
        <v>0</v>
      </c>
      <c r="AM4" s="159">
        <v>0</v>
      </c>
      <c r="AN4" s="159">
        <v>0</v>
      </c>
      <c r="AO4" s="523">
        <v>0</v>
      </c>
      <c r="AU4" s="517" t="s">
        <v>504</v>
      </c>
      <c r="AV4" s="518">
        <v>13</v>
      </c>
    </row>
    <row r="5" spans="1:48" ht="14.95" customHeight="1" thickBot="1" x14ac:dyDescent="0.35">
      <c r="A5" s="170" t="s">
        <v>310</v>
      </c>
      <c r="B5" s="171" t="s">
        <v>311</v>
      </c>
      <c r="C5" s="171" t="s">
        <v>284</v>
      </c>
      <c r="D5" s="171" t="s">
        <v>607</v>
      </c>
      <c r="E5" s="172" t="s">
        <v>1</v>
      </c>
      <c r="F5" s="172">
        <v>69</v>
      </c>
      <c r="G5" s="172">
        <v>0</v>
      </c>
      <c r="H5" s="374">
        <v>1</v>
      </c>
      <c r="I5" s="374">
        <v>0</v>
      </c>
      <c r="J5" s="374">
        <v>11</v>
      </c>
      <c r="K5" s="374">
        <v>7</v>
      </c>
      <c r="L5" s="374">
        <v>0</v>
      </c>
      <c r="M5" s="374">
        <v>0</v>
      </c>
      <c r="N5" s="374">
        <v>1</v>
      </c>
      <c r="O5" s="374">
        <v>0</v>
      </c>
      <c r="P5" s="374">
        <v>0</v>
      </c>
      <c r="Q5" s="374">
        <v>0</v>
      </c>
      <c r="R5" s="374">
        <v>0</v>
      </c>
      <c r="S5" s="643"/>
      <c r="T5" s="181" t="s">
        <v>410</v>
      </c>
      <c r="U5" s="173" t="s">
        <v>131</v>
      </c>
      <c r="V5" s="173" t="s">
        <v>100</v>
      </c>
      <c r="W5" s="173" t="s">
        <v>100</v>
      </c>
      <c r="X5" s="176" t="s">
        <v>609</v>
      </c>
      <c r="Y5" s="177" t="s">
        <v>610</v>
      </c>
      <c r="Z5" s="176">
        <v>1</v>
      </c>
      <c r="AA5" s="176">
        <v>1</v>
      </c>
      <c r="AB5" s="176">
        <v>0</v>
      </c>
      <c r="AC5" s="342">
        <v>0</v>
      </c>
      <c r="AD5" s="176">
        <v>1</v>
      </c>
      <c r="AE5" s="176">
        <v>1</v>
      </c>
      <c r="AF5" s="176">
        <v>0</v>
      </c>
      <c r="AG5" s="342">
        <v>0</v>
      </c>
      <c r="AH5" s="176">
        <v>0</v>
      </c>
      <c r="AI5" s="176">
        <v>0</v>
      </c>
      <c r="AJ5" s="176">
        <v>0</v>
      </c>
      <c r="AK5" s="342">
        <v>0</v>
      </c>
      <c r="AL5" s="176">
        <v>0</v>
      </c>
      <c r="AM5" s="176">
        <v>0</v>
      </c>
      <c r="AN5" s="176">
        <v>0</v>
      </c>
      <c r="AO5" s="342">
        <v>0</v>
      </c>
      <c r="AU5" s="517" t="s">
        <v>505</v>
      </c>
      <c r="AV5" s="518">
        <v>0</v>
      </c>
    </row>
    <row r="6" spans="1:48" ht="14.95" customHeight="1" thickBot="1" x14ac:dyDescent="0.35">
      <c r="A6" s="170" t="s">
        <v>212</v>
      </c>
      <c r="B6" s="171" t="s">
        <v>311</v>
      </c>
      <c r="C6" s="171" t="s">
        <v>125</v>
      </c>
      <c r="D6" s="171" t="s">
        <v>556</v>
      </c>
      <c r="E6" s="172" t="s">
        <v>1</v>
      </c>
      <c r="F6" s="172">
        <v>27</v>
      </c>
      <c r="G6" s="172">
        <v>17</v>
      </c>
      <c r="H6" s="374">
        <v>1</v>
      </c>
      <c r="I6" s="374">
        <v>0</v>
      </c>
      <c r="J6" s="374">
        <v>3</v>
      </c>
      <c r="K6" s="374">
        <v>3</v>
      </c>
      <c r="L6" s="374">
        <v>0</v>
      </c>
      <c r="M6" s="374">
        <v>2</v>
      </c>
      <c r="N6" s="374">
        <v>0</v>
      </c>
      <c r="O6" s="374">
        <v>0</v>
      </c>
      <c r="P6" s="374">
        <v>0</v>
      </c>
      <c r="Q6" s="374">
        <v>0</v>
      </c>
      <c r="R6" s="374">
        <v>3</v>
      </c>
      <c r="S6" s="643"/>
      <c r="T6" s="181" t="s">
        <v>529</v>
      </c>
      <c r="U6" s="175" t="s">
        <v>611</v>
      </c>
      <c r="V6" s="173" t="s">
        <v>100</v>
      </c>
      <c r="W6" s="173" t="s">
        <v>100</v>
      </c>
      <c r="X6" s="176" t="s">
        <v>612</v>
      </c>
      <c r="Y6" s="177" t="s">
        <v>613</v>
      </c>
      <c r="Z6" s="176">
        <v>1</v>
      </c>
      <c r="AA6" s="176">
        <v>1</v>
      </c>
      <c r="AB6" s="176">
        <v>0</v>
      </c>
      <c r="AC6" s="342">
        <v>0</v>
      </c>
      <c r="AD6" s="176">
        <v>1</v>
      </c>
      <c r="AE6" s="176">
        <v>1</v>
      </c>
      <c r="AF6" s="176">
        <v>0</v>
      </c>
      <c r="AG6" s="342">
        <v>0</v>
      </c>
      <c r="AH6" s="176">
        <v>0</v>
      </c>
      <c r="AI6" s="176">
        <v>0</v>
      </c>
      <c r="AJ6" s="176">
        <v>0</v>
      </c>
      <c r="AK6" s="342">
        <v>0</v>
      </c>
      <c r="AL6" s="176">
        <v>0</v>
      </c>
      <c r="AM6" s="176">
        <v>0</v>
      </c>
      <c r="AN6" s="176">
        <v>0</v>
      </c>
      <c r="AO6" s="342">
        <v>0</v>
      </c>
      <c r="AU6" s="517" t="s">
        <v>506</v>
      </c>
      <c r="AV6" s="518">
        <v>19</v>
      </c>
    </row>
    <row r="7" spans="1:48" ht="14.95" customHeight="1" thickBot="1" x14ac:dyDescent="0.3">
      <c r="A7" s="170" t="s">
        <v>219</v>
      </c>
      <c r="B7" s="171" t="s">
        <v>161</v>
      </c>
      <c r="C7" s="171" t="s">
        <v>95</v>
      </c>
      <c r="D7" s="171" t="s">
        <v>313</v>
      </c>
      <c r="E7" s="172" t="s">
        <v>3</v>
      </c>
      <c r="F7" s="172">
        <v>26</v>
      </c>
      <c r="G7" s="172">
        <v>48</v>
      </c>
      <c r="H7" s="374" t="s">
        <v>69</v>
      </c>
      <c r="I7" s="374" t="s">
        <v>69</v>
      </c>
      <c r="J7" s="374">
        <v>4</v>
      </c>
      <c r="K7" s="374">
        <v>3</v>
      </c>
      <c r="L7" s="374">
        <v>0</v>
      </c>
      <c r="M7" s="374">
        <v>0</v>
      </c>
      <c r="N7" s="374">
        <v>2</v>
      </c>
      <c r="O7" s="374">
        <v>0</v>
      </c>
      <c r="P7" s="374" t="s">
        <v>69</v>
      </c>
      <c r="Q7" s="374" t="s">
        <v>69</v>
      </c>
      <c r="R7" s="374">
        <v>8</v>
      </c>
      <c r="S7" s="643"/>
      <c r="T7" s="174" t="s">
        <v>314</v>
      </c>
      <c r="U7" s="176" t="s">
        <v>117</v>
      </c>
      <c r="V7" s="173" t="s">
        <v>100</v>
      </c>
      <c r="W7" s="173" t="s">
        <v>100</v>
      </c>
      <c r="X7" s="175" t="s">
        <v>178</v>
      </c>
      <c r="Y7" s="177" t="s">
        <v>306</v>
      </c>
      <c r="Z7" s="176">
        <v>1</v>
      </c>
      <c r="AA7" s="176">
        <v>0</v>
      </c>
      <c r="AB7" s="176">
        <v>0</v>
      </c>
      <c r="AC7" s="342">
        <v>1</v>
      </c>
      <c r="AD7" s="176">
        <v>1</v>
      </c>
      <c r="AE7" s="176">
        <v>0</v>
      </c>
      <c r="AF7" s="176">
        <v>0</v>
      </c>
      <c r="AG7" s="342">
        <v>1</v>
      </c>
      <c r="AH7" s="176">
        <v>0</v>
      </c>
      <c r="AI7" s="176">
        <v>0</v>
      </c>
      <c r="AJ7" s="176">
        <v>0</v>
      </c>
      <c r="AK7" s="342">
        <v>0</v>
      </c>
      <c r="AL7" s="176">
        <v>0</v>
      </c>
      <c r="AM7" s="176">
        <v>0</v>
      </c>
      <c r="AN7" s="176">
        <v>0</v>
      </c>
      <c r="AO7" s="342">
        <v>0</v>
      </c>
      <c r="AU7" s="517" t="s">
        <v>507</v>
      </c>
      <c r="AV7" s="518">
        <v>497</v>
      </c>
    </row>
    <row r="8" spans="1:48" ht="14.95" customHeight="1" thickBot="1" x14ac:dyDescent="0.3">
      <c r="A8" s="155" t="s">
        <v>509</v>
      </c>
      <c r="B8" s="157" t="s">
        <v>161</v>
      </c>
      <c r="C8" s="157" t="s">
        <v>99</v>
      </c>
      <c r="D8" s="157" t="s">
        <v>510</v>
      </c>
      <c r="E8" s="158" t="s">
        <v>3</v>
      </c>
      <c r="F8" s="158">
        <v>19</v>
      </c>
      <c r="G8" s="158">
        <v>32</v>
      </c>
      <c r="H8" s="375" t="s">
        <v>69</v>
      </c>
      <c r="I8" s="375" t="s">
        <v>69</v>
      </c>
      <c r="J8" s="375">
        <v>3</v>
      </c>
      <c r="K8" s="375">
        <v>2</v>
      </c>
      <c r="L8" s="375">
        <v>0</v>
      </c>
      <c r="M8" s="375">
        <v>0</v>
      </c>
      <c r="N8" s="375">
        <v>1</v>
      </c>
      <c r="O8" s="375">
        <v>0</v>
      </c>
      <c r="P8" s="375" t="s">
        <v>69</v>
      </c>
      <c r="Q8" s="375" t="s">
        <v>69</v>
      </c>
      <c r="R8" s="375">
        <v>5</v>
      </c>
      <c r="S8" s="644"/>
      <c r="T8" s="166" t="s">
        <v>513</v>
      </c>
      <c r="U8" s="521" t="s">
        <v>272</v>
      </c>
      <c r="V8" s="162" t="s">
        <v>100</v>
      </c>
      <c r="W8" s="162" t="s">
        <v>100</v>
      </c>
      <c r="X8" s="164" t="s">
        <v>128</v>
      </c>
      <c r="Y8" s="165" t="s">
        <v>512</v>
      </c>
      <c r="Z8" s="159">
        <v>1</v>
      </c>
      <c r="AA8" s="159">
        <v>0</v>
      </c>
      <c r="AB8" s="159">
        <v>0</v>
      </c>
      <c r="AC8" s="523">
        <v>1</v>
      </c>
      <c r="AD8" s="159">
        <v>0</v>
      </c>
      <c r="AE8" s="159">
        <v>0</v>
      </c>
      <c r="AF8" s="159">
        <v>0</v>
      </c>
      <c r="AG8" s="523">
        <v>0</v>
      </c>
      <c r="AH8" s="159">
        <v>1</v>
      </c>
      <c r="AI8" s="159">
        <v>0</v>
      </c>
      <c r="AJ8" s="159">
        <v>0</v>
      </c>
      <c r="AK8" s="523">
        <v>1</v>
      </c>
      <c r="AL8" s="159">
        <v>0</v>
      </c>
      <c r="AM8" s="159">
        <v>0</v>
      </c>
      <c r="AN8" s="159">
        <v>0</v>
      </c>
      <c r="AO8" s="523">
        <v>0</v>
      </c>
      <c r="AU8" s="519"/>
      <c r="AV8" s="520"/>
    </row>
    <row r="9" spans="1:48" ht="14.95" customHeight="1" thickBot="1" x14ac:dyDescent="0.3">
      <c r="A9" s="155" t="s">
        <v>526</v>
      </c>
      <c r="B9" s="157" t="s">
        <v>161</v>
      </c>
      <c r="C9" s="157" t="s">
        <v>99</v>
      </c>
      <c r="D9" s="157" t="s">
        <v>531</v>
      </c>
      <c r="E9" s="158" t="s">
        <v>3</v>
      </c>
      <c r="F9" s="158">
        <v>19</v>
      </c>
      <c r="G9" s="158">
        <v>30</v>
      </c>
      <c r="H9" s="375" t="s">
        <v>69</v>
      </c>
      <c r="I9" s="375" t="s">
        <v>69</v>
      </c>
      <c r="J9" s="375">
        <v>3</v>
      </c>
      <c r="K9" s="375">
        <v>2</v>
      </c>
      <c r="L9" s="375">
        <v>0</v>
      </c>
      <c r="M9" s="375">
        <v>0</v>
      </c>
      <c r="N9" s="375">
        <v>2</v>
      </c>
      <c r="O9" s="375">
        <v>0</v>
      </c>
      <c r="P9" s="375" t="s">
        <v>69</v>
      </c>
      <c r="Q9" s="375" t="s">
        <v>69</v>
      </c>
      <c r="R9" s="375">
        <v>5</v>
      </c>
      <c r="S9" s="644"/>
      <c r="T9" s="166" t="s">
        <v>534</v>
      </c>
      <c r="U9" s="521" t="s">
        <v>272</v>
      </c>
      <c r="V9" s="162" t="s">
        <v>100</v>
      </c>
      <c r="W9" s="162" t="s">
        <v>100</v>
      </c>
      <c r="X9" s="164" t="s">
        <v>128</v>
      </c>
      <c r="Y9" s="165" t="s">
        <v>512</v>
      </c>
      <c r="Z9" s="159">
        <v>1</v>
      </c>
      <c r="AA9" s="159">
        <v>0</v>
      </c>
      <c r="AB9" s="159">
        <v>0</v>
      </c>
      <c r="AC9" s="523">
        <v>1</v>
      </c>
      <c r="AD9" s="159">
        <v>0</v>
      </c>
      <c r="AE9" s="159">
        <v>0</v>
      </c>
      <c r="AF9" s="159">
        <v>0</v>
      </c>
      <c r="AG9" s="523">
        <v>0</v>
      </c>
      <c r="AH9" s="159">
        <v>1</v>
      </c>
      <c r="AI9" s="159">
        <v>0</v>
      </c>
      <c r="AJ9" s="159">
        <v>0</v>
      </c>
      <c r="AK9" s="523">
        <v>1</v>
      </c>
      <c r="AL9" s="159">
        <v>0</v>
      </c>
      <c r="AM9" s="159">
        <v>0</v>
      </c>
      <c r="AN9" s="159">
        <v>0</v>
      </c>
      <c r="AO9" s="523">
        <v>0</v>
      </c>
      <c r="AU9" s="519"/>
      <c r="AV9" s="520"/>
    </row>
    <row r="10" spans="1:48" ht="14.95" customHeight="1" thickBot="1" x14ac:dyDescent="0.3">
      <c r="A10" s="155" t="s">
        <v>546</v>
      </c>
      <c r="B10" s="157" t="s">
        <v>161</v>
      </c>
      <c r="C10" s="157" t="s">
        <v>30</v>
      </c>
      <c r="D10" s="157" t="s">
        <v>221</v>
      </c>
      <c r="E10" s="158" t="s">
        <v>3</v>
      </c>
      <c r="F10" s="158">
        <v>7</v>
      </c>
      <c r="G10" s="158">
        <v>97</v>
      </c>
      <c r="H10" s="375" t="s">
        <v>69</v>
      </c>
      <c r="I10" s="375" t="s">
        <v>69</v>
      </c>
      <c r="J10" s="375">
        <v>1</v>
      </c>
      <c r="K10" s="375">
        <v>1</v>
      </c>
      <c r="L10" s="375">
        <v>0</v>
      </c>
      <c r="M10" s="375">
        <v>0</v>
      </c>
      <c r="N10" s="375">
        <v>0</v>
      </c>
      <c r="O10" s="375">
        <v>0</v>
      </c>
      <c r="P10" s="375" t="s">
        <v>69</v>
      </c>
      <c r="Q10" s="375" t="s">
        <v>69</v>
      </c>
      <c r="R10" s="375">
        <v>15</v>
      </c>
      <c r="S10" s="644"/>
      <c r="T10" s="166" t="s">
        <v>551</v>
      </c>
      <c r="U10" s="164" t="s">
        <v>119</v>
      </c>
      <c r="V10" s="162" t="s">
        <v>139</v>
      </c>
      <c r="W10" s="162" t="s">
        <v>100</v>
      </c>
      <c r="X10" s="162" t="s">
        <v>131</v>
      </c>
      <c r="Y10" s="379" t="s">
        <v>550</v>
      </c>
      <c r="Z10" s="159">
        <v>1</v>
      </c>
      <c r="AA10" s="159">
        <v>0</v>
      </c>
      <c r="AB10" s="159">
        <v>0</v>
      </c>
      <c r="AC10" s="523">
        <v>1</v>
      </c>
      <c r="AD10" s="159">
        <v>0</v>
      </c>
      <c r="AE10" s="159">
        <v>0</v>
      </c>
      <c r="AF10" s="159">
        <v>0</v>
      </c>
      <c r="AG10" s="523">
        <v>0</v>
      </c>
      <c r="AH10" s="159">
        <v>1</v>
      </c>
      <c r="AI10" s="159">
        <v>0</v>
      </c>
      <c r="AJ10" s="159">
        <v>0</v>
      </c>
      <c r="AK10" s="523">
        <v>1</v>
      </c>
      <c r="AL10" s="159">
        <v>0</v>
      </c>
      <c r="AM10" s="159">
        <v>0</v>
      </c>
      <c r="AN10" s="159">
        <v>0</v>
      </c>
      <c r="AO10" s="523">
        <v>0</v>
      </c>
      <c r="AU10" s="519"/>
      <c r="AV10" s="520"/>
    </row>
    <row r="11" spans="1:48" ht="14.95" customHeight="1" thickBot="1" x14ac:dyDescent="0.3">
      <c r="A11" s="187" t="s">
        <v>245</v>
      </c>
      <c r="B11" s="188" t="s">
        <v>231</v>
      </c>
      <c r="C11" s="188" t="s">
        <v>72</v>
      </c>
      <c r="D11" s="188" t="s">
        <v>206</v>
      </c>
      <c r="E11" s="184" t="s">
        <v>3</v>
      </c>
      <c r="F11" s="184">
        <v>8</v>
      </c>
      <c r="G11" s="184">
        <v>54</v>
      </c>
      <c r="H11" s="373">
        <v>0</v>
      </c>
      <c r="I11" s="373">
        <v>0</v>
      </c>
      <c r="J11" s="373">
        <v>1</v>
      </c>
      <c r="K11" s="373">
        <v>0</v>
      </c>
      <c r="L11" s="373">
        <v>0</v>
      </c>
      <c r="M11" s="373">
        <v>1</v>
      </c>
      <c r="N11" s="373">
        <v>0</v>
      </c>
      <c r="O11" s="373">
        <v>0</v>
      </c>
      <c r="P11" s="373">
        <v>1</v>
      </c>
      <c r="Q11" s="373">
        <v>0</v>
      </c>
      <c r="R11" s="373">
        <v>8</v>
      </c>
      <c r="S11" s="645">
        <v>7458</v>
      </c>
      <c r="T11" s="204" t="s">
        <v>698</v>
      </c>
      <c r="U11" s="186" t="s">
        <v>159</v>
      </c>
      <c r="V11" s="297" t="s">
        <v>111</v>
      </c>
      <c r="W11" s="297" t="s">
        <v>139</v>
      </c>
      <c r="X11" s="617" t="s">
        <v>252</v>
      </c>
      <c r="Y11" s="618" t="s">
        <v>132</v>
      </c>
      <c r="Z11" s="186">
        <v>1</v>
      </c>
      <c r="AA11" s="186">
        <v>0</v>
      </c>
      <c r="AB11" s="186">
        <v>0</v>
      </c>
      <c r="AC11" s="341">
        <v>1</v>
      </c>
      <c r="AD11" s="186">
        <v>0</v>
      </c>
      <c r="AE11" s="186">
        <v>0</v>
      </c>
      <c r="AF11" s="186">
        <v>0</v>
      </c>
      <c r="AG11" s="341">
        <v>0</v>
      </c>
      <c r="AH11" s="186">
        <v>0</v>
      </c>
      <c r="AI11" s="186">
        <v>0</v>
      </c>
      <c r="AJ11" s="186">
        <v>0</v>
      </c>
      <c r="AK11" s="341">
        <v>0</v>
      </c>
      <c r="AL11" s="186">
        <v>1</v>
      </c>
      <c r="AM11" s="186">
        <v>0</v>
      </c>
      <c r="AN11" s="186">
        <v>0</v>
      </c>
      <c r="AO11" s="341">
        <v>1</v>
      </c>
      <c r="AU11" s="519"/>
      <c r="AV11" s="520"/>
    </row>
    <row r="12" spans="1:48" ht="14.95" customHeight="1" thickBot="1" x14ac:dyDescent="0.3">
      <c r="A12" s="187" t="s">
        <v>242</v>
      </c>
      <c r="B12" s="188" t="s">
        <v>231</v>
      </c>
      <c r="C12" s="188" t="s">
        <v>35</v>
      </c>
      <c r="D12" s="188" t="s">
        <v>235</v>
      </c>
      <c r="E12" s="184" t="s">
        <v>3</v>
      </c>
      <c r="F12" s="184">
        <v>27</v>
      </c>
      <c r="G12" s="184">
        <v>43</v>
      </c>
      <c r="H12" s="373">
        <v>1</v>
      </c>
      <c r="I12" s="373">
        <v>0</v>
      </c>
      <c r="J12" s="373">
        <v>5</v>
      </c>
      <c r="K12" s="373">
        <v>1</v>
      </c>
      <c r="L12" s="373">
        <v>0</v>
      </c>
      <c r="M12" s="373">
        <v>0</v>
      </c>
      <c r="N12" s="373">
        <v>0</v>
      </c>
      <c r="O12" s="373">
        <v>0</v>
      </c>
      <c r="P12" s="373">
        <v>1</v>
      </c>
      <c r="Q12" s="373">
        <v>0</v>
      </c>
      <c r="R12" s="373">
        <v>7</v>
      </c>
      <c r="S12" s="645">
        <v>8834</v>
      </c>
      <c r="T12" s="198" t="s">
        <v>733</v>
      </c>
      <c r="U12" s="392" t="s">
        <v>252</v>
      </c>
      <c r="V12" s="189" t="s">
        <v>136</v>
      </c>
      <c r="W12" s="189" t="s">
        <v>110</v>
      </c>
      <c r="X12" s="190" t="s">
        <v>114</v>
      </c>
      <c r="Y12" s="186" t="s">
        <v>132</v>
      </c>
      <c r="Z12" s="186">
        <v>1</v>
      </c>
      <c r="AA12" s="186">
        <v>0</v>
      </c>
      <c r="AB12" s="186">
        <v>0</v>
      </c>
      <c r="AC12" s="341">
        <v>1</v>
      </c>
      <c r="AD12" s="186">
        <v>0</v>
      </c>
      <c r="AE12" s="186">
        <v>0</v>
      </c>
      <c r="AF12" s="186">
        <v>0</v>
      </c>
      <c r="AG12" s="341">
        <v>0</v>
      </c>
      <c r="AH12" s="186">
        <v>0</v>
      </c>
      <c r="AI12" s="186">
        <v>0</v>
      </c>
      <c r="AJ12" s="186">
        <v>0</v>
      </c>
      <c r="AK12" s="341">
        <v>0</v>
      </c>
      <c r="AL12" s="186">
        <v>1</v>
      </c>
      <c r="AM12" s="186">
        <v>0</v>
      </c>
      <c r="AN12" s="186">
        <v>0</v>
      </c>
      <c r="AO12" s="341">
        <v>1</v>
      </c>
      <c r="AU12" s="519"/>
      <c r="AV12" s="520"/>
    </row>
    <row r="13" spans="1:48" ht="14.95" customHeight="1" thickBot="1" x14ac:dyDescent="0.35">
      <c r="A13" s="187" t="s">
        <v>174</v>
      </c>
      <c r="B13" s="188" t="s">
        <v>231</v>
      </c>
      <c r="C13" s="188" t="s">
        <v>99</v>
      </c>
      <c r="D13" s="188" t="s">
        <v>206</v>
      </c>
      <c r="E13" s="184" t="s">
        <v>3</v>
      </c>
      <c r="F13" s="184">
        <v>21</v>
      </c>
      <c r="G13" s="184">
        <v>29</v>
      </c>
      <c r="H13" s="373">
        <v>0</v>
      </c>
      <c r="I13" s="373">
        <v>0</v>
      </c>
      <c r="J13" s="373">
        <v>3</v>
      </c>
      <c r="K13" s="373">
        <v>3</v>
      </c>
      <c r="L13" s="373">
        <v>0</v>
      </c>
      <c r="M13" s="373">
        <v>0</v>
      </c>
      <c r="N13" s="373">
        <v>1</v>
      </c>
      <c r="O13" s="373">
        <v>0</v>
      </c>
      <c r="P13" s="373">
        <v>1</v>
      </c>
      <c r="Q13" s="373">
        <v>0</v>
      </c>
      <c r="R13" s="373">
        <v>5</v>
      </c>
      <c r="S13" s="645"/>
      <c r="T13" s="666" t="s">
        <v>720</v>
      </c>
      <c r="U13" s="186" t="s">
        <v>116</v>
      </c>
      <c r="V13" s="186" t="s">
        <v>110</v>
      </c>
      <c r="W13" s="186" t="s">
        <v>136</v>
      </c>
      <c r="X13" s="186" t="s">
        <v>117</v>
      </c>
      <c r="Y13" s="191" t="s">
        <v>132</v>
      </c>
      <c r="Z13" s="186">
        <v>1</v>
      </c>
      <c r="AA13" s="186">
        <v>0</v>
      </c>
      <c r="AB13" s="186">
        <v>0</v>
      </c>
      <c r="AC13" s="341">
        <v>1</v>
      </c>
      <c r="AD13" s="186">
        <v>0</v>
      </c>
      <c r="AE13" s="186">
        <v>0</v>
      </c>
      <c r="AF13" s="186">
        <v>0</v>
      </c>
      <c r="AG13" s="341">
        <v>0</v>
      </c>
      <c r="AH13" s="186">
        <v>0</v>
      </c>
      <c r="AI13" s="186">
        <v>0</v>
      </c>
      <c r="AJ13" s="186">
        <v>0</v>
      </c>
      <c r="AK13" s="341">
        <v>0</v>
      </c>
      <c r="AL13" s="186">
        <v>1</v>
      </c>
      <c r="AM13" s="186">
        <v>0</v>
      </c>
      <c r="AN13" s="186">
        <v>0</v>
      </c>
      <c r="AO13" s="341">
        <v>1</v>
      </c>
      <c r="AU13" s="519"/>
      <c r="AV13" s="520"/>
    </row>
    <row r="14" spans="1:48" ht="14.95" customHeight="1" thickBot="1" x14ac:dyDescent="0.3">
      <c r="A14" s="104"/>
      <c r="B14" s="105"/>
      <c r="C14" s="871" t="s">
        <v>237</v>
      </c>
      <c r="D14" s="872"/>
      <c r="E14" s="873"/>
      <c r="F14" s="471">
        <f>SUM(F11:F13)</f>
        <v>56</v>
      </c>
      <c r="G14" s="471">
        <f t="shared" ref="G14:R14" si="0">SUM(G11:G13)</f>
        <v>126</v>
      </c>
      <c r="H14" s="471">
        <f t="shared" si="0"/>
        <v>1</v>
      </c>
      <c r="I14" s="471">
        <f t="shared" si="0"/>
        <v>0</v>
      </c>
      <c r="J14" s="471">
        <f t="shared" si="0"/>
        <v>9</v>
      </c>
      <c r="K14" s="471">
        <f t="shared" si="0"/>
        <v>4</v>
      </c>
      <c r="L14" s="471">
        <f t="shared" si="0"/>
        <v>0</v>
      </c>
      <c r="M14" s="471">
        <f t="shared" si="0"/>
        <v>1</v>
      </c>
      <c r="N14" s="471">
        <f t="shared" si="0"/>
        <v>1</v>
      </c>
      <c r="O14" s="471">
        <f t="shared" si="0"/>
        <v>0</v>
      </c>
      <c r="P14" s="471">
        <f t="shared" si="0"/>
        <v>3</v>
      </c>
      <c r="Q14" s="471">
        <f t="shared" si="0"/>
        <v>0</v>
      </c>
      <c r="R14" s="471">
        <f t="shared" si="0"/>
        <v>20</v>
      </c>
      <c r="S14" s="458"/>
      <c r="T14" s="458"/>
      <c r="U14" s="458"/>
      <c r="V14" s="458"/>
      <c r="W14" s="458"/>
      <c r="X14" s="459"/>
      <c r="Y14" s="464" t="s">
        <v>237</v>
      </c>
      <c r="Z14" s="471">
        <f t="shared" ref="Z14:AO14" si="1">SUM(Z11:Z13)</f>
        <v>3</v>
      </c>
      <c r="AA14" s="471">
        <f t="shared" si="1"/>
        <v>0</v>
      </c>
      <c r="AB14" s="471">
        <f t="shared" si="1"/>
        <v>0</v>
      </c>
      <c r="AC14" s="471">
        <f t="shared" si="1"/>
        <v>3</v>
      </c>
      <c r="AD14" s="472">
        <f t="shared" si="1"/>
        <v>0</v>
      </c>
      <c r="AE14" s="472">
        <f t="shared" si="1"/>
        <v>0</v>
      </c>
      <c r="AF14" s="472">
        <f t="shared" si="1"/>
        <v>0</v>
      </c>
      <c r="AG14" s="472">
        <f t="shared" si="1"/>
        <v>0</v>
      </c>
      <c r="AH14" s="473">
        <f t="shared" si="1"/>
        <v>0</v>
      </c>
      <c r="AI14" s="473">
        <f t="shared" si="1"/>
        <v>0</v>
      </c>
      <c r="AJ14" s="473">
        <f t="shared" si="1"/>
        <v>0</v>
      </c>
      <c r="AK14" s="473">
        <f t="shared" si="1"/>
        <v>0</v>
      </c>
      <c r="AL14" s="471">
        <f t="shared" si="1"/>
        <v>3</v>
      </c>
      <c r="AM14" s="471">
        <f t="shared" si="1"/>
        <v>0</v>
      </c>
      <c r="AN14" s="471">
        <f t="shared" si="1"/>
        <v>0</v>
      </c>
      <c r="AO14" s="471">
        <f t="shared" si="1"/>
        <v>3</v>
      </c>
    </row>
    <row r="15" spans="1:48" ht="14.95" customHeight="1" thickBot="1" x14ac:dyDescent="0.3">
      <c r="A15" s="104"/>
      <c r="B15" s="105"/>
      <c r="C15" s="765" t="s">
        <v>312</v>
      </c>
      <c r="D15" s="866"/>
      <c r="E15" s="867"/>
      <c r="F15" s="424">
        <f t="shared" ref="F15:R15" si="2">SUM(F4:F6)</f>
        <v>115</v>
      </c>
      <c r="G15" s="424">
        <f t="shared" si="2"/>
        <v>24</v>
      </c>
      <c r="H15" s="424">
        <f t="shared" si="2"/>
        <v>2</v>
      </c>
      <c r="I15" s="424">
        <f t="shared" si="2"/>
        <v>0</v>
      </c>
      <c r="J15" s="424">
        <f t="shared" si="2"/>
        <v>17</v>
      </c>
      <c r="K15" s="424">
        <f t="shared" si="2"/>
        <v>12</v>
      </c>
      <c r="L15" s="424">
        <f t="shared" si="2"/>
        <v>0</v>
      </c>
      <c r="M15" s="424">
        <f t="shared" si="2"/>
        <v>2</v>
      </c>
      <c r="N15" s="424">
        <f t="shared" si="2"/>
        <v>2</v>
      </c>
      <c r="O15" s="424">
        <f t="shared" si="2"/>
        <v>0</v>
      </c>
      <c r="P15" s="424">
        <f t="shared" si="2"/>
        <v>0</v>
      </c>
      <c r="Q15" s="424">
        <f t="shared" si="2"/>
        <v>0</v>
      </c>
      <c r="R15" s="424">
        <f t="shared" si="2"/>
        <v>4</v>
      </c>
      <c r="S15" s="425"/>
      <c r="T15" s="425"/>
      <c r="U15" s="425"/>
      <c r="V15" s="425"/>
      <c r="W15" s="425"/>
      <c r="X15" s="426"/>
      <c r="Y15" s="427" t="s">
        <v>312</v>
      </c>
      <c r="Z15" s="424">
        <f t="shared" ref="Z15:AO15" si="3">SUM(Z4:Z6)</f>
        <v>3</v>
      </c>
      <c r="AA15" s="424">
        <f t="shared" si="3"/>
        <v>3</v>
      </c>
      <c r="AB15" s="424">
        <f t="shared" si="3"/>
        <v>0</v>
      </c>
      <c r="AC15" s="424">
        <f t="shared" si="3"/>
        <v>0</v>
      </c>
      <c r="AD15" s="428">
        <f t="shared" si="3"/>
        <v>2</v>
      </c>
      <c r="AE15" s="428">
        <f t="shared" si="3"/>
        <v>2</v>
      </c>
      <c r="AF15" s="428">
        <f t="shared" si="3"/>
        <v>0</v>
      </c>
      <c r="AG15" s="428">
        <f t="shared" si="3"/>
        <v>0</v>
      </c>
      <c r="AH15" s="429">
        <f t="shared" si="3"/>
        <v>1</v>
      </c>
      <c r="AI15" s="429">
        <f t="shared" si="3"/>
        <v>1</v>
      </c>
      <c r="AJ15" s="429">
        <f t="shared" si="3"/>
        <v>0</v>
      </c>
      <c r="AK15" s="429">
        <f t="shared" si="3"/>
        <v>0</v>
      </c>
      <c r="AL15" s="424">
        <f t="shared" si="3"/>
        <v>0</v>
      </c>
      <c r="AM15" s="424">
        <f t="shared" si="3"/>
        <v>0</v>
      </c>
      <c r="AN15" s="424">
        <f t="shared" si="3"/>
        <v>0</v>
      </c>
      <c r="AO15" s="424">
        <f t="shared" si="3"/>
        <v>0</v>
      </c>
    </row>
    <row r="16" spans="1:48" ht="14.95" customHeight="1" thickBot="1" x14ac:dyDescent="0.3">
      <c r="A16" s="104"/>
      <c r="B16" s="105"/>
      <c r="C16" s="728" t="s">
        <v>70</v>
      </c>
      <c r="D16" s="729"/>
      <c r="E16" s="730"/>
      <c r="F16" s="128">
        <f t="shared" ref="F16:R16" si="4">SUM(F3:F13)</f>
        <v>283</v>
      </c>
      <c r="G16" s="128">
        <f t="shared" si="4"/>
        <v>369</v>
      </c>
      <c r="H16" s="128">
        <f t="shared" si="4"/>
        <v>3</v>
      </c>
      <c r="I16" s="128">
        <f t="shared" si="4"/>
        <v>0</v>
      </c>
      <c r="J16" s="128">
        <f t="shared" si="4"/>
        <v>43</v>
      </c>
      <c r="K16" s="128">
        <f t="shared" si="4"/>
        <v>28</v>
      </c>
      <c r="L16" s="128">
        <f t="shared" si="4"/>
        <v>0</v>
      </c>
      <c r="M16" s="128">
        <f t="shared" si="4"/>
        <v>4</v>
      </c>
      <c r="N16" s="128">
        <f t="shared" si="4"/>
        <v>8</v>
      </c>
      <c r="O16" s="128">
        <f t="shared" si="4"/>
        <v>0</v>
      </c>
      <c r="P16" s="128">
        <f t="shared" si="4"/>
        <v>3</v>
      </c>
      <c r="Q16" s="128">
        <f t="shared" si="4"/>
        <v>0</v>
      </c>
      <c r="R16" s="128">
        <f t="shared" si="4"/>
        <v>59</v>
      </c>
      <c r="S16" s="197"/>
      <c r="T16" s="197"/>
      <c r="U16" s="197"/>
      <c r="V16" s="197"/>
      <c r="W16" s="197"/>
      <c r="X16" s="12"/>
      <c r="Y16" s="133" t="s">
        <v>70</v>
      </c>
      <c r="Z16" s="128">
        <f t="shared" ref="Z16:AO16" si="5">SUM(Z3:Z13)</f>
        <v>11</v>
      </c>
      <c r="AA16" s="128">
        <f t="shared" si="5"/>
        <v>4</v>
      </c>
      <c r="AB16" s="128">
        <f t="shared" si="5"/>
        <v>0</v>
      </c>
      <c r="AC16" s="128">
        <f t="shared" si="5"/>
        <v>7</v>
      </c>
      <c r="AD16" s="126">
        <f t="shared" si="5"/>
        <v>4</v>
      </c>
      <c r="AE16" s="126">
        <f t="shared" si="5"/>
        <v>3</v>
      </c>
      <c r="AF16" s="126">
        <f t="shared" si="5"/>
        <v>0</v>
      </c>
      <c r="AG16" s="126">
        <f t="shared" si="5"/>
        <v>1</v>
      </c>
      <c r="AH16" s="127">
        <f t="shared" si="5"/>
        <v>4</v>
      </c>
      <c r="AI16" s="127">
        <f t="shared" si="5"/>
        <v>1</v>
      </c>
      <c r="AJ16" s="127">
        <f t="shared" si="5"/>
        <v>0</v>
      </c>
      <c r="AK16" s="127">
        <f t="shared" si="5"/>
        <v>3</v>
      </c>
      <c r="AL16" s="128">
        <f t="shared" si="5"/>
        <v>3</v>
      </c>
      <c r="AM16" s="128">
        <f t="shared" si="5"/>
        <v>0</v>
      </c>
      <c r="AN16" s="128">
        <f t="shared" si="5"/>
        <v>0</v>
      </c>
      <c r="AO16" s="128">
        <f t="shared" si="5"/>
        <v>3</v>
      </c>
    </row>
    <row r="17" spans="1:40" ht="14.95" customHeight="1" x14ac:dyDescent="0.25">
      <c r="A17" s="727" t="s">
        <v>53</v>
      </c>
      <c r="B17" s="687"/>
      <c r="C17" s="687"/>
      <c r="D17" s="687"/>
      <c r="E17" s="687"/>
      <c r="F17" s="687"/>
      <c r="G17" s="687"/>
      <c r="H17" s="687"/>
      <c r="I17" s="687"/>
      <c r="J17" s="687"/>
      <c r="K17" s="687"/>
      <c r="L17" s="687"/>
      <c r="M17" s="687"/>
      <c r="N17" s="687"/>
      <c r="O17" s="687"/>
      <c r="P17" s="687"/>
      <c r="Q17" s="687"/>
      <c r="R17" s="687"/>
      <c r="S17" s="687"/>
      <c r="T17" s="687"/>
      <c r="U17" s="687"/>
      <c r="V17" s="687"/>
      <c r="W17" s="687"/>
      <c r="X17" s="687"/>
      <c r="Y17" s="687"/>
      <c r="Z17" s="687"/>
      <c r="AA17" s="687"/>
      <c r="AB17" s="687"/>
      <c r="AC17" s="687"/>
      <c r="AD17" s="687"/>
      <c r="AE17" s="687"/>
      <c r="AF17" s="687"/>
      <c r="AG17" s="687"/>
      <c r="AH17" s="687"/>
      <c r="AI17" s="687"/>
      <c r="AJ17" s="687"/>
      <c r="AK17" s="687"/>
      <c r="AL17" s="687"/>
      <c r="AM17" s="687"/>
      <c r="AN17" s="687"/>
    </row>
    <row r="18" spans="1:40" ht="14.95" customHeight="1" x14ac:dyDescent="0.25">
      <c r="A18" s="545" t="s">
        <v>606</v>
      </c>
    </row>
    <row r="19" spans="1:40" ht="14.95" customHeight="1" x14ac:dyDescent="0.25">
      <c r="A19" t="s">
        <v>608</v>
      </c>
    </row>
    <row r="20" spans="1:40" ht="14.95" customHeight="1" x14ac:dyDescent="0.25">
      <c r="A20" t="s">
        <v>553</v>
      </c>
    </row>
    <row r="21" spans="1:40" ht="14.95" customHeight="1" x14ac:dyDescent="0.25">
      <c r="A21" t="s">
        <v>575</v>
      </c>
    </row>
    <row r="22" spans="1:40" ht="14.95" customHeight="1" x14ac:dyDescent="0.25">
      <c r="A22" s="727" t="s">
        <v>760</v>
      </c>
      <c r="B22" s="687"/>
      <c r="C22" s="687"/>
      <c r="D22" s="687"/>
      <c r="E22" s="687"/>
      <c r="F22" s="687"/>
      <c r="G22" s="687"/>
      <c r="H22" s="687"/>
      <c r="I22" s="687"/>
      <c r="J22" s="687"/>
      <c r="K22" s="687"/>
      <c r="L22" s="687"/>
      <c r="M22" s="687"/>
      <c r="N22" s="687"/>
      <c r="O22" s="687"/>
      <c r="P22" s="687"/>
      <c r="Q22" s="687"/>
      <c r="R22" s="687"/>
      <c r="S22" s="687"/>
      <c r="T22" s="687"/>
      <c r="U22" s="687"/>
      <c r="V22" s="687"/>
      <c r="W22" s="687"/>
      <c r="X22" s="687"/>
      <c r="Y22" s="687"/>
      <c r="Z22" s="687"/>
      <c r="AA22" s="687"/>
      <c r="AB22" s="687"/>
      <c r="AC22" s="687"/>
      <c r="AD22" s="687"/>
      <c r="AE22" s="687"/>
      <c r="AF22" s="687"/>
      <c r="AG22" s="687"/>
      <c r="AH22" s="687"/>
      <c r="AI22" s="687"/>
      <c r="AJ22" s="687"/>
      <c r="AK22" s="687"/>
      <c r="AL22" s="687"/>
      <c r="AM22" s="687"/>
      <c r="AN22" s="687"/>
    </row>
    <row r="23" spans="1:40" ht="14.95" customHeight="1" x14ac:dyDescent="0.25">
      <c r="A23" t="s">
        <v>75</v>
      </c>
    </row>
    <row r="24" spans="1:40" ht="14.95" customHeight="1" x14ac:dyDescent="0.25">
      <c r="A24" s="313"/>
      <c r="B24" s="73" t="s">
        <v>40</v>
      </c>
      <c r="C24" s="73"/>
      <c r="D24" s="73"/>
    </row>
    <row r="25" spans="1:40" ht="14.95" customHeight="1" x14ac:dyDescent="0.25">
      <c r="A25" s="314"/>
      <c r="B25" s="73" t="s">
        <v>38</v>
      </c>
      <c r="C25" s="73"/>
      <c r="D25" s="73"/>
    </row>
    <row r="26" spans="1:40" ht="14.95" customHeight="1" x14ac:dyDescent="0.25">
      <c r="A26" s="315"/>
      <c r="B26" s="73" t="s">
        <v>39</v>
      </c>
      <c r="C26" s="73"/>
      <c r="D26" s="73"/>
    </row>
    <row r="27" spans="1:40" ht="14.95" customHeight="1" x14ac:dyDescent="0.3">
      <c r="A27" s="681" t="s">
        <v>28</v>
      </c>
      <c r="B27" s="73"/>
      <c r="C27" s="73"/>
      <c r="D27" s="73"/>
    </row>
  </sheetData>
  <mergeCells count="15">
    <mergeCell ref="A22:AN22"/>
    <mergeCell ref="A17:AN17"/>
    <mergeCell ref="C15:E15"/>
    <mergeCell ref="Z1:AC1"/>
    <mergeCell ref="AD1:AG1"/>
    <mergeCell ref="AH1:AK1"/>
    <mergeCell ref="AL1:AO1"/>
    <mergeCell ref="C14:E14"/>
    <mergeCell ref="C16:E16"/>
    <mergeCell ref="A1:C1"/>
    <mergeCell ref="E1:G1"/>
    <mergeCell ref="H1:I1"/>
    <mergeCell ref="J1:M1"/>
    <mergeCell ref="N1:O1"/>
    <mergeCell ref="P1:R1"/>
  </mergeCells>
  <pageMargins left="0.7" right="0.7" top="0.75" bottom="0.75" header="0.3" footer="0.3"/>
  <ignoredErrors>
    <ignoredError sqref="T7:T8 T11:T12" twoDigitTextYear="1"/>
    <ignoredError sqref="X14:AO15 C14:V14 F15:V15" formulaRange="1"/>
  </ignoredErrors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065B5-95D2-4F6D-AFF2-D00FED6BEEF6}">
  <dimension ref="A1:AV26"/>
  <sheetViews>
    <sheetView zoomScaleNormal="100" workbookViewId="0">
      <selection activeCell="A26" sqref="A26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125" customWidth="1"/>
    <col min="5" max="6" width="3.75" customWidth="1"/>
    <col min="7" max="7" width="4" bestFit="1" customWidth="1"/>
    <col min="8" max="18" width="3.75" customWidth="1"/>
    <col min="19" max="19" width="6.625" customWidth="1"/>
    <col min="20" max="20" width="6.25" customWidth="1"/>
    <col min="21" max="21" width="23.625" bestFit="1" customWidth="1"/>
    <col min="22" max="22" width="21.625" bestFit="1" customWidth="1"/>
    <col min="23" max="23" width="21.875" bestFit="1" customWidth="1"/>
    <col min="24" max="24" width="20.375" bestFit="1" customWidth="1"/>
    <col min="25" max="25" width="24.375" bestFit="1" customWidth="1"/>
    <col min="26" max="41" width="3.75" customWidth="1"/>
    <col min="47" max="47" width="9.875" bestFit="1" customWidth="1"/>
  </cols>
  <sheetData>
    <row r="1" spans="1:48" ht="14.95" thickBot="1" x14ac:dyDescent="0.3">
      <c r="A1" s="885" t="s">
        <v>330</v>
      </c>
      <c r="B1" s="886"/>
      <c r="C1" s="886"/>
      <c r="D1" s="256"/>
      <c r="E1" s="887" t="s">
        <v>24</v>
      </c>
      <c r="F1" s="888"/>
      <c r="G1" s="889"/>
      <c r="H1" s="887" t="s">
        <v>74</v>
      </c>
      <c r="I1" s="889"/>
      <c r="J1" s="890" t="s">
        <v>6</v>
      </c>
      <c r="K1" s="891"/>
      <c r="L1" s="891"/>
      <c r="M1" s="892"/>
      <c r="N1" s="890" t="s">
        <v>7</v>
      </c>
      <c r="O1" s="892"/>
      <c r="P1" s="890" t="s">
        <v>25</v>
      </c>
      <c r="Q1" s="891"/>
      <c r="R1" s="892"/>
      <c r="S1" s="555" t="s">
        <v>8</v>
      </c>
      <c r="T1" s="129" t="s">
        <v>9</v>
      </c>
      <c r="U1" s="74" t="s">
        <v>10</v>
      </c>
      <c r="V1" s="74" t="s">
        <v>11</v>
      </c>
      <c r="W1" s="74" t="s">
        <v>109</v>
      </c>
      <c r="X1" s="74" t="s">
        <v>26</v>
      </c>
      <c r="Y1" s="74" t="s">
        <v>27</v>
      </c>
      <c r="Z1" s="882" t="s">
        <v>20</v>
      </c>
      <c r="AA1" s="883"/>
      <c r="AB1" s="883"/>
      <c r="AC1" s="884"/>
      <c r="AD1" s="882" t="s">
        <v>56</v>
      </c>
      <c r="AE1" s="883"/>
      <c r="AF1" s="883"/>
      <c r="AG1" s="884"/>
      <c r="AH1" s="882" t="s">
        <v>57</v>
      </c>
      <c r="AI1" s="883"/>
      <c r="AJ1" s="883"/>
      <c r="AK1" s="884"/>
      <c r="AL1" s="882" t="s">
        <v>58</v>
      </c>
      <c r="AM1" s="883"/>
      <c r="AN1" s="883"/>
      <c r="AO1" s="884"/>
    </row>
    <row r="2" spans="1:48" ht="14.95" customHeight="1" thickBot="1" x14ac:dyDescent="0.3">
      <c r="A2" s="75" t="s">
        <v>19</v>
      </c>
      <c r="B2" s="76" t="s">
        <v>18</v>
      </c>
      <c r="C2" s="77" t="s">
        <v>17</v>
      </c>
      <c r="D2" s="77" t="s">
        <v>37</v>
      </c>
      <c r="E2" s="78" t="s">
        <v>16</v>
      </c>
      <c r="F2" s="78" t="s">
        <v>4</v>
      </c>
      <c r="G2" s="78" t="s">
        <v>5</v>
      </c>
      <c r="H2" s="79" t="s">
        <v>12</v>
      </c>
      <c r="I2" s="79" t="s">
        <v>3</v>
      </c>
      <c r="J2" s="79" t="s">
        <v>12</v>
      </c>
      <c r="K2" s="79" t="s">
        <v>13</v>
      </c>
      <c r="L2" s="79" t="s">
        <v>2</v>
      </c>
      <c r="M2" s="79" t="s">
        <v>14</v>
      </c>
      <c r="N2" s="79" t="s">
        <v>15</v>
      </c>
      <c r="O2" s="79" t="s">
        <v>16</v>
      </c>
      <c r="P2" s="79" t="s">
        <v>21</v>
      </c>
      <c r="Q2" s="79" t="s">
        <v>22</v>
      </c>
      <c r="R2" s="79" t="s">
        <v>12</v>
      </c>
      <c r="S2" s="638"/>
      <c r="T2" s="258"/>
      <c r="U2" s="259"/>
      <c r="V2" s="257"/>
      <c r="W2" s="257"/>
      <c r="X2" s="74"/>
      <c r="Y2" s="260"/>
      <c r="Z2" s="114" t="s">
        <v>0</v>
      </c>
      <c r="AA2" s="114" t="s">
        <v>1</v>
      </c>
      <c r="AB2" s="114" t="s">
        <v>2</v>
      </c>
      <c r="AC2" s="114" t="s">
        <v>3</v>
      </c>
      <c r="AD2" s="114" t="s">
        <v>0</v>
      </c>
      <c r="AE2" s="114" t="s">
        <v>1</v>
      </c>
      <c r="AF2" s="114" t="s">
        <v>2</v>
      </c>
      <c r="AG2" s="114" t="s">
        <v>3</v>
      </c>
      <c r="AH2" s="114" t="s">
        <v>0</v>
      </c>
      <c r="AI2" s="114" t="s">
        <v>1</v>
      </c>
      <c r="AJ2" s="114" t="s">
        <v>2</v>
      </c>
      <c r="AK2" s="114" t="s">
        <v>3</v>
      </c>
      <c r="AL2" s="114" t="s">
        <v>0</v>
      </c>
      <c r="AM2" s="114" t="s">
        <v>1</v>
      </c>
      <c r="AN2" s="114" t="s">
        <v>2</v>
      </c>
      <c r="AO2" s="114" t="s">
        <v>3</v>
      </c>
      <c r="AU2" s="73" t="s">
        <v>508</v>
      </c>
    </row>
    <row r="3" spans="1:48" ht="14.95" customHeight="1" thickBot="1" x14ac:dyDescent="0.3">
      <c r="A3" s="444" t="s">
        <v>301</v>
      </c>
      <c r="B3" s="445" t="s">
        <v>161</v>
      </c>
      <c r="C3" s="171" t="s">
        <v>99</v>
      </c>
      <c r="D3" s="171" t="s">
        <v>331</v>
      </c>
      <c r="E3" s="172" t="s">
        <v>3</v>
      </c>
      <c r="F3" s="172">
        <v>33</v>
      </c>
      <c r="G3" s="172">
        <v>39</v>
      </c>
      <c r="H3" s="374" t="s">
        <v>69</v>
      </c>
      <c r="I3" s="374" t="s">
        <v>69</v>
      </c>
      <c r="J3" s="374">
        <v>5</v>
      </c>
      <c r="K3" s="374">
        <v>4</v>
      </c>
      <c r="L3" s="374">
        <v>0</v>
      </c>
      <c r="M3" s="374">
        <v>0</v>
      </c>
      <c r="N3" s="374">
        <v>1</v>
      </c>
      <c r="O3" s="374">
        <v>0</v>
      </c>
      <c r="P3" s="374" t="s">
        <v>69</v>
      </c>
      <c r="Q3" s="374" t="s">
        <v>69</v>
      </c>
      <c r="R3" s="374">
        <v>6</v>
      </c>
      <c r="S3" s="639"/>
      <c r="T3" s="446" t="s">
        <v>332</v>
      </c>
      <c r="U3" s="175" t="s">
        <v>119</v>
      </c>
      <c r="V3" s="173" t="s">
        <v>100</v>
      </c>
      <c r="W3" s="175" t="s">
        <v>100</v>
      </c>
      <c r="X3" s="175" t="s">
        <v>184</v>
      </c>
      <c r="Y3" s="177" t="s">
        <v>182</v>
      </c>
      <c r="Z3" s="655">
        <v>1</v>
      </c>
      <c r="AA3" s="655">
        <v>0</v>
      </c>
      <c r="AB3" s="655">
        <v>0</v>
      </c>
      <c r="AC3" s="656">
        <v>1</v>
      </c>
      <c r="AD3" s="655">
        <v>1</v>
      </c>
      <c r="AE3" s="655">
        <v>0</v>
      </c>
      <c r="AF3" s="655">
        <v>0</v>
      </c>
      <c r="AG3" s="656">
        <v>1</v>
      </c>
      <c r="AH3" s="655">
        <v>0</v>
      </c>
      <c r="AI3" s="655">
        <v>0</v>
      </c>
      <c r="AJ3" s="655">
        <v>0</v>
      </c>
      <c r="AK3" s="656">
        <v>0</v>
      </c>
      <c r="AL3" s="655">
        <v>0</v>
      </c>
      <c r="AM3" s="655">
        <v>0</v>
      </c>
      <c r="AN3" s="655">
        <v>0</v>
      </c>
      <c r="AO3" s="656">
        <v>0</v>
      </c>
      <c r="AU3" s="515" t="s">
        <v>503</v>
      </c>
      <c r="AV3" s="516">
        <v>45</v>
      </c>
    </row>
    <row r="4" spans="1:48" ht="14.95" customHeight="1" thickBot="1" x14ac:dyDescent="0.3">
      <c r="A4" s="336" t="s">
        <v>337</v>
      </c>
      <c r="B4" s="182" t="s">
        <v>153</v>
      </c>
      <c r="C4" s="171" t="s">
        <v>36</v>
      </c>
      <c r="D4" s="171" t="s">
        <v>345</v>
      </c>
      <c r="E4" s="172" t="s">
        <v>3</v>
      </c>
      <c r="F4" s="172">
        <v>14</v>
      </c>
      <c r="G4" s="172">
        <v>26</v>
      </c>
      <c r="H4" s="374">
        <v>0</v>
      </c>
      <c r="I4" s="374">
        <v>0</v>
      </c>
      <c r="J4" s="374">
        <v>2</v>
      </c>
      <c r="K4" s="374">
        <v>2</v>
      </c>
      <c r="L4" s="374">
        <v>0</v>
      </c>
      <c r="M4" s="374">
        <v>0</v>
      </c>
      <c r="N4" s="374">
        <v>1</v>
      </c>
      <c r="O4" s="374">
        <v>0</v>
      </c>
      <c r="P4" s="374">
        <v>0</v>
      </c>
      <c r="Q4" s="374">
        <v>0</v>
      </c>
      <c r="R4" s="374">
        <v>4</v>
      </c>
      <c r="S4" s="639">
        <v>10518</v>
      </c>
      <c r="T4" s="174" t="s">
        <v>346</v>
      </c>
      <c r="U4" s="175" t="s">
        <v>272</v>
      </c>
      <c r="V4" s="173" t="s">
        <v>136</v>
      </c>
      <c r="W4" s="175" t="s">
        <v>347</v>
      </c>
      <c r="X4" s="175" t="s">
        <v>154</v>
      </c>
      <c r="Y4" s="177" t="s">
        <v>155</v>
      </c>
      <c r="Z4" s="655">
        <v>1</v>
      </c>
      <c r="AA4" s="655">
        <v>0</v>
      </c>
      <c r="AB4" s="655">
        <v>0</v>
      </c>
      <c r="AC4" s="656">
        <v>1</v>
      </c>
      <c r="AD4" s="655">
        <v>1</v>
      </c>
      <c r="AE4" s="655">
        <v>0</v>
      </c>
      <c r="AF4" s="655">
        <v>0</v>
      </c>
      <c r="AG4" s="656">
        <v>1</v>
      </c>
      <c r="AH4" s="655">
        <v>0</v>
      </c>
      <c r="AI4" s="655">
        <v>0</v>
      </c>
      <c r="AJ4" s="655">
        <v>0</v>
      </c>
      <c r="AK4" s="656">
        <v>0</v>
      </c>
      <c r="AL4" s="655">
        <v>0</v>
      </c>
      <c r="AM4" s="655">
        <v>0</v>
      </c>
      <c r="AN4" s="655">
        <v>0</v>
      </c>
      <c r="AO4" s="656">
        <v>0</v>
      </c>
      <c r="AU4" s="517" t="s">
        <v>504</v>
      </c>
      <c r="AV4" s="518">
        <v>27</v>
      </c>
    </row>
    <row r="5" spans="1:48" ht="14.95" customHeight="1" thickBot="1" x14ac:dyDescent="0.3">
      <c r="A5" s="155" t="s">
        <v>376</v>
      </c>
      <c r="B5" s="157" t="s">
        <v>153</v>
      </c>
      <c r="C5" s="157" t="s">
        <v>29</v>
      </c>
      <c r="D5" s="157" t="s">
        <v>386</v>
      </c>
      <c r="E5" s="158" t="s">
        <v>3</v>
      </c>
      <c r="F5" s="158">
        <v>19</v>
      </c>
      <c r="G5" s="158">
        <v>27</v>
      </c>
      <c r="H5" s="375">
        <v>0</v>
      </c>
      <c r="I5" s="375">
        <v>0</v>
      </c>
      <c r="J5" s="375">
        <v>3</v>
      </c>
      <c r="K5" s="375">
        <v>2</v>
      </c>
      <c r="L5" s="375">
        <v>0</v>
      </c>
      <c r="M5" s="375">
        <v>0</v>
      </c>
      <c r="N5" s="375">
        <v>0</v>
      </c>
      <c r="O5" s="375">
        <v>1</v>
      </c>
      <c r="P5" s="375">
        <v>0</v>
      </c>
      <c r="Q5" s="375">
        <v>0</v>
      </c>
      <c r="R5" s="375">
        <v>4</v>
      </c>
      <c r="S5" s="625"/>
      <c r="T5" s="166" t="s">
        <v>388</v>
      </c>
      <c r="U5" s="164" t="s">
        <v>146</v>
      </c>
      <c r="V5" s="162" t="s">
        <v>160</v>
      </c>
      <c r="W5" s="164" t="s">
        <v>141</v>
      </c>
      <c r="X5" s="164" t="s">
        <v>144</v>
      </c>
      <c r="Y5" s="159" t="s">
        <v>145</v>
      </c>
      <c r="Z5" s="159">
        <v>1</v>
      </c>
      <c r="AA5" s="159">
        <v>0</v>
      </c>
      <c r="AB5" s="159">
        <v>0</v>
      </c>
      <c r="AC5" s="523">
        <v>1</v>
      </c>
      <c r="AD5" s="159">
        <v>0</v>
      </c>
      <c r="AE5" s="159">
        <v>0</v>
      </c>
      <c r="AF5" s="159">
        <v>0</v>
      </c>
      <c r="AG5" s="523">
        <v>0</v>
      </c>
      <c r="AH5" s="159">
        <v>1</v>
      </c>
      <c r="AI5" s="159">
        <v>0</v>
      </c>
      <c r="AJ5" s="159">
        <v>0</v>
      </c>
      <c r="AK5" s="523">
        <v>1</v>
      </c>
      <c r="AL5" s="159">
        <v>0</v>
      </c>
      <c r="AM5" s="159">
        <v>0</v>
      </c>
      <c r="AN5" s="159">
        <v>0</v>
      </c>
      <c r="AO5" s="523">
        <v>0</v>
      </c>
      <c r="AU5" s="517" t="s">
        <v>505</v>
      </c>
      <c r="AV5" s="518">
        <v>1</v>
      </c>
    </row>
    <row r="6" spans="1:48" ht="14.95" customHeight="1" thickBot="1" x14ac:dyDescent="0.3">
      <c r="A6" s="155" t="s">
        <v>403</v>
      </c>
      <c r="B6" s="157" t="s">
        <v>153</v>
      </c>
      <c r="C6" s="157" t="s">
        <v>72</v>
      </c>
      <c r="D6" s="157" t="s">
        <v>405</v>
      </c>
      <c r="E6" s="158" t="s">
        <v>3</v>
      </c>
      <c r="F6" s="158">
        <v>14</v>
      </c>
      <c r="G6" s="158">
        <v>79</v>
      </c>
      <c r="H6" s="375">
        <v>0</v>
      </c>
      <c r="I6" s="375">
        <v>0</v>
      </c>
      <c r="J6" s="375">
        <v>2</v>
      </c>
      <c r="K6" s="375">
        <v>2</v>
      </c>
      <c r="L6" s="375">
        <v>0</v>
      </c>
      <c r="M6" s="375">
        <v>0</v>
      </c>
      <c r="N6" s="375">
        <v>0</v>
      </c>
      <c r="O6" s="375">
        <v>0</v>
      </c>
      <c r="P6" s="375">
        <v>1</v>
      </c>
      <c r="Q6" s="375">
        <v>0</v>
      </c>
      <c r="R6" s="375">
        <v>13</v>
      </c>
      <c r="S6" s="625"/>
      <c r="T6" s="166" t="s">
        <v>407</v>
      </c>
      <c r="U6" s="164" t="s">
        <v>116</v>
      </c>
      <c r="V6" s="162" t="s">
        <v>141</v>
      </c>
      <c r="W6" s="162" t="s">
        <v>382</v>
      </c>
      <c r="X6" s="159" t="s">
        <v>159</v>
      </c>
      <c r="Y6" s="165" t="s">
        <v>163</v>
      </c>
      <c r="Z6" s="159">
        <v>1</v>
      </c>
      <c r="AA6" s="159">
        <v>0</v>
      </c>
      <c r="AB6" s="159">
        <v>0</v>
      </c>
      <c r="AC6" s="523">
        <v>1</v>
      </c>
      <c r="AD6" s="159">
        <v>0</v>
      </c>
      <c r="AE6" s="159">
        <v>0</v>
      </c>
      <c r="AF6" s="159">
        <v>0</v>
      </c>
      <c r="AG6" s="523">
        <v>0</v>
      </c>
      <c r="AH6" s="159">
        <v>1</v>
      </c>
      <c r="AI6" s="159">
        <v>0</v>
      </c>
      <c r="AJ6" s="159">
        <v>0</v>
      </c>
      <c r="AK6" s="523">
        <v>1</v>
      </c>
      <c r="AL6" s="159">
        <v>0</v>
      </c>
      <c r="AM6" s="159">
        <v>0</v>
      </c>
      <c r="AN6" s="159">
        <v>0</v>
      </c>
      <c r="AO6" s="523">
        <v>0</v>
      </c>
      <c r="AU6" s="517" t="s">
        <v>506</v>
      </c>
      <c r="AV6" s="518">
        <v>17</v>
      </c>
    </row>
    <row r="7" spans="1:48" ht="14.95" customHeight="1" thickBot="1" x14ac:dyDescent="0.35">
      <c r="A7" s="170" t="s">
        <v>509</v>
      </c>
      <c r="B7" s="171" t="s">
        <v>161</v>
      </c>
      <c r="C7" s="171" t="s">
        <v>166</v>
      </c>
      <c r="D7" s="171" t="s">
        <v>517</v>
      </c>
      <c r="E7" s="172" t="s">
        <v>1</v>
      </c>
      <c r="F7" s="172">
        <v>31</v>
      </c>
      <c r="G7" s="172">
        <v>24</v>
      </c>
      <c r="H7" s="374" t="s">
        <v>69</v>
      </c>
      <c r="I7" s="374" t="s">
        <v>69</v>
      </c>
      <c r="J7" s="374">
        <v>5</v>
      </c>
      <c r="K7" s="374">
        <v>3</v>
      </c>
      <c r="L7" s="374">
        <v>0</v>
      </c>
      <c r="M7" s="374">
        <v>0</v>
      </c>
      <c r="N7" s="374">
        <v>0</v>
      </c>
      <c r="O7" s="374">
        <v>0</v>
      </c>
      <c r="P7" s="374" t="s">
        <v>69</v>
      </c>
      <c r="Q7" s="374" t="s">
        <v>69</v>
      </c>
      <c r="R7" s="374">
        <v>3</v>
      </c>
      <c r="S7" s="639">
        <v>15198</v>
      </c>
      <c r="T7" s="181" t="s">
        <v>518</v>
      </c>
      <c r="U7" s="175" t="s">
        <v>116</v>
      </c>
      <c r="V7" s="173" t="s">
        <v>139</v>
      </c>
      <c r="W7" s="173" t="s">
        <v>100</v>
      </c>
      <c r="X7" s="173" t="s">
        <v>252</v>
      </c>
      <c r="Y7" s="176" t="s">
        <v>154</v>
      </c>
      <c r="Z7" s="176">
        <v>1</v>
      </c>
      <c r="AA7" s="176">
        <v>1</v>
      </c>
      <c r="AB7" s="176">
        <v>0</v>
      </c>
      <c r="AC7" s="342">
        <v>0</v>
      </c>
      <c r="AD7" s="176">
        <v>1</v>
      </c>
      <c r="AE7" s="176">
        <v>1</v>
      </c>
      <c r="AF7" s="176">
        <v>0</v>
      </c>
      <c r="AG7" s="342">
        <v>0</v>
      </c>
      <c r="AH7" s="176">
        <v>0</v>
      </c>
      <c r="AI7" s="176">
        <v>0</v>
      </c>
      <c r="AJ7" s="176">
        <v>0</v>
      </c>
      <c r="AK7" s="342">
        <v>0</v>
      </c>
      <c r="AL7" s="176">
        <v>0</v>
      </c>
      <c r="AM7" s="176">
        <v>0</v>
      </c>
      <c r="AN7" s="176">
        <v>0</v>
      </c>
      <c r="AO7" s="342">
        <v>0</v>
      </c>
      <c r="AU7" s="517" t="s">
        <v>507</v>
      </c>
      <c r="AV7" s="518">
        <v>1404</v>
      </c>
    </row>
    <row r="8" spans="1:48" ht="14.95" customHeight="1" thickBot="1" x14ac:dyDescent="0.3">
      <c r="A8" s="155" t="s">
        <v>229</v>
      </c>
      <c r="B8" s="157" t="s">
        <v>161</v>
      </c>
      <c r="C8" s="157" t="s">
        <v>36</v>
      </c>
      <c r="D8" s="157" t="s">
        <v>541</v>
      </c>
      <c r="E8" s="158" t="s">
        <v>3</v>
      </c>
      <c r="F8" s="158">
        <v>10</v>
      </c>
      <c r="G8" s="158">
        <v>42</v>
      </c>
      <c r="H8" s="375" t="s">
        <v>69</v>
      </c>
      <c r="I8" s="375" t="s">
        <v>69</v>
      </c>
      <c r="J8" s="375">
        <v>1</v>
      </c>
      <c r="K8" s="375">
        <v>1</v>
      </c>
      <c r="L8" s="375">
        <v>0</v>
      </c>
      <c r="M8" s="375">
        <v>1</v>
      </c>
      <c r="N8" s="375">
        <v>2</v>
      </c>
      <c r="O8" s="375">
        <v>0</v>
      </c>
      <c r="P8" s="375" t="s">
        <v>69</v>
      </c>
      <c r="Q8" s="375" t="s">
        <v>69</v>
      </c>
      <c r="R8" s="375">
        <v>6</v>
      </c>
      <c r="S8" s="625">
        <v>11453</v>
      </c>
      <c r="T8" s="166" t="s">
        <v>544</v>
      </c>
      <c r="U8" s="164" t="s">
        <v>159</v>
      </c>
      <c r="V8" s="162" t="s">
        <v>543</v>
      </c>
      <c r="W8" s="162" t="s">
        <v>100</v>
      </c>
      <c r="X8" s="162" t="s">
        <v>252</v>
      </c>
      <c r="Y8" s="162" t="s">
        <v>154</v>
      </c>
      <c r="Z8" s="159">
        <v>1</v>
      </c>
      <c r="AA8" s="159">
        <v>0</v>
      </c>
      <c r="AB8" s="159">
        <v>0</v>
      </c>
      <c r="AC8" s="523">
        <v>1</v>
      </c>
      <c r="AD8" s="159">
        <v>0</v>
      </c>
      <c r="AE8" s="159">
        <v>0</v>
      </c>
      <c r="AF8" s="159">
        <v>0</v>
      </c>
      <c r="AG8" s="523">
        <v>0</v>
      </c>
      <c r="AH8" s="159">
        <v>1</v>
      </c>
      <c r="AI8" s="159">
        <v>0</v>
      </c>
      <c r="AJ8" s="159">
        <v>0</v>
      </c>
      <c r="AK8" s="523">
        <v>1</v>
      </c>
      <c r="AL8" s="159">
        <v>0</v>
      </c>
      <c r="AM8" s="159">
        <v>0</v>
      </c>
      <c r="AN8" s="159">
        <v>0</v>
      </c>
      <c r="AO8" s="523">
        <v>0</v>
      </c>
    </row>
    <row r="9" spans="1:48" ht="14.95" customHeight="1" thickBot="1" x14ac:dyDescent="0.3">
      <c r="A9" s="155" t="s">
        <v>232</v>
      </c>
      <c r="B9" s="157" t="s">
        <v>231</v>
      </c>
      <c r="C9" s="157" t="s">
        <v>30</v>
      </c>
      <c r="D9" s="157" t="s">
        <v>233</v>
      </c>
      <c r="E9" s="158" t="s">
        <v>3</v>
      </c>
      <c r="F9" s="158">
        <v>7</v>
      </c>
      <c r="G9" s="158">
        <v>69</v>
      </c>
      <c r="H9" s="375">
        <v>0</v>
      </c>
      <c r="I9" s="375">
        <v>0</v>
      </c>
      <c r="J9" s="375">
        <v>1</v>
      </c>
      <c r="K9" s="375">
        <v>1</v>
      </c>
      <c r="L9" s="375">
        <v>0</v>
      </c>
      <c r="M9" s="375">
        <v>0</v>
      </c>
      <c r="N9" s="375">
        <v>1</v>
      </c>
      <c r="O9" s="375">
        <v>0</v>
      </c>
      <c r="P9" s="375">
        <v>1</v>
      </c>
      <c r="Q9" s="375">
        <v>0</v>
      </c>
      <c r="R9" s="375">
        <v>11</v>
      </c>
      <c r="S9" s="625">
        <v>42723</v>
      </c>
      <c r="T9" s="166" t="s">
        <v>660</v>
      </c>
      <c r="U9" s="164" t="s">
        <v>146</v>
      </c>
      <c r="V9" s="162" t="s">
        <v>115</v>
      </c>
      <c r="W9" s="162" t="s">
        <v>141</v>
      </c>
      <c r="X9" s="162" t="s">
        <v>145</v>
      </c>
      <c r="Y9" s="165" t="s">
        <v>131</v>
      </c>
      <c r="Z9" s="159">
        <v>1</v>
      </c>
      <c r="AA9" s="159">
        <v>0</v>
      </c>
      <c r="AB9" s="159">
        <v>0</v>
      </c>
      <c r="AC9" s="523">
        <v>1</v>
      </c>
      <c r="AD9" s="159">
        <v>0</v>
      </c>
      <c r="AE9" s="159">
        <v>0</v>
      </c>
      <c r="AF9" s="159">
        <v>0</v>
      </c>
      <c r="AG9" s="523">
        <v>0</v>
      </c>
      <c r="AH9" s="159">
        <v>1</v>
      </c>
      <c r="AI9" s="159">
        <v>0</v>
      </c>
      <c r="AJ9" s="159">
        <v>0</v>
      </c>
      <c r="AK9" s="523">
        <v>1</v>
      </c>
      <c r="AL9" s="159">
        <v>0</v>
      </c>
      <c r="AM9" s="159">
        <v>0</v>
      </c>
      <c r="AN9" s="159">
        <v>0</v>
      </c>
      <c r="AO9" s="523">
        <v>0</v>
      </c>
    </row>
    <row r="10" spans="1:48" ht="14.95" customHeight="1" thickBot="1" x14ac:dyDescent="0.3">
      <c r="A10" s="187" t="s">
        <v>234</v>
      </c>
      <c r="B10" s="188" t="s">
        <v>231</v>
      </c>
      <c r="C10" s="188" t="s">
        <v>29</v>
      </c>
      <c r="D10" s="188" t="s">
        <v>206</v>
      </c>
      <c r="E10" s="184" t="s">
        <v>2</v>
      </c>
      <c r="F10" s="184">
        <v>31</v>
      </c>
      <c r="G10" s="184">
        <v>31</v>
      </c>
      <c r="H10" s="373">
        <v>1</v>
      </c>
      <c r="I10" s="373">
        <v>0</v>
      </c>
      <c r="J10" s="373">
        <v>5</v>
      </c>
      <c r="K10" s="373">
        <v>3</v>
      </c>
      <c r="L10" s="373">
        <v>0</v>
      </c>
      <c r="M10" s="373">
        <v>0</v>
      </c>
      <c r="N10" s="373">
        <v>0</v>
      </c>
      <c r="O10" s="373">
        <v>0</v>
      </c>
      <c r="P10" s="373">
        <v>1</v>
      </c>
      <c r="Q10" s="373">
        <v>0</v>
      </c>
      <c r="R10" s="373">
        <v>5</v>
      </c>
      <c r="S10" s="391">
        <v>7628</v>
      </c>
      <c r="T10" s="198" t="s">
        <v>719</v>
      </c>
      <c r="U10" s="189" t="s">
        <v>116</v>
      </c>
      <c r="V10" s="189" t="s">
        <v>139</v>
      </c>
      <c r="W10" s="189" t="s">
        <v>110</v>
      </c>
      <c r="X10" s="189" t="s">
        <v>128</v>
      </c>
      <c r="Y10" s="191" t="s">
        <v>131</v>
      </c>
      <c r="Z10" s="186">
        <v>1</v>
      </c>
      <c r="AA10" s="186">
        <v>0</v>
      </c>
      <c r="AB10" s="186">
        <v>1</v>
      </c>
      <c r="AC10" s="341">
        <v>0</v>
      </c>
      <c r="AD10" s="186">
        <v>0</v>
      </c>
      <c r="AE10" s="186">
        <v>0</v>
      </c>
      <c r="AF10" s="186">
        <v>0</v>
      </c>
      <c r="AG10" s="341">
        <v>0</v>
      </c>
      <c r="AH10" s="186">
        <v>0</v>
      </c>
      <c r="AI10" s="186">
        <v>0</v>
      </c>
      <c r="AJ10" s="186">
        <v>0</v>
      </c>
      <c r="AK10" s="341">
        <v>0</v>
      </c>
      <c r="AL10" s="186">
        <v>1</v>
      </c>
      <c r="AM10" s="186">
        <v>0</v>
      </c>
      <c r="AN10" s="186">
        <v>1</v>
      </c>
      <c r="AO10" s="341">
        <v>0</v>
      </c>
    </row>
    <row r="11" spans="1:48" ht="14.95" customHeight="1" thickBot="1" x14ac:dyDescent="0.35">
      <c r="A11" s="187" t="s">
        <v>172</v>
      </c>
      <c r="B11" s="188" t="s">
        <v>231</v>
      </c>
      <c r="C11" s="188" t="s">
        <v>98</v>
      </c>
      <c r="D11" s="188" t="s">
        <v>206</v>
      </c>
      <c r="E11" s="184" t="s">
        <v>1</v>
      </c>
      <c r="F11" s="184">
        <v>60</v>
      </c>
      <c r="G11" s="184">
        <v>0</v>
      </c>
      <c r="H11" s="373">
        <v>1</v>
      </c>
      <c r="I11" s="373">
        <v>0</v>
      </c>
      <c r="J11" s="373">
        <v>10</v>
      </c>
      <c r="K11" s="373">
        <v>5</v>
      </c>
      <c r="L11" s="373">
        <v>0</v>
      </c>
      <c r="M11" s="373">
        <v>0</v>
      </c>
      <c r="N11" s="373">
        <v>1</v>
      </c>
      <c r="O11" s="373">
        <v>0</v>
      </c>
      <c r="P11" s="373">
        <v>0</v>
      </c>
      <c r="Q11" s="373">
        <v>0</v>
      </c>
      <c r="R11" s="373">
        <v>0</v>
      </c>
      <c r="S11" s="391"/>
      <c r="T11" s="192" t="s">
        <v>772</v>
      </c>
      <c r="U11" s="189" t="s">
        <v>145</v>
      </c>
      <c r="V11" s="189" t="s">
        <v>110</v>
      </c>
      <c r="W11" s="189" t="s">
        <v>136</v>
      </c>
      <c r="X11" s="186" t="s">
        <v>773</v>
      </c>
      <c r="Y11" s="203" t="s">
        <v>132</v>
      </c>
      <c r="Z11" s="186">
        <v>1</v>
      </c>
      <c r="AA11" s="186">
        <v>1</v>
      </c>
      <c r="AB11" s="186">
        <v>0</v>
      </c>
      <c r="AC11" s="341">
        <v>0</v>
      </c>
      <c r="AD11" s="186">
        <v>0</v>
      </c>
      <c r="AE11" s="186">
        <v>0</v>
      </c>
      <c r="AF11" s="186">
        <v>0</v>
      </c>
      <c r="AG11" s="341">
        <v>0</v>
      </c>
      <c r="AH11" s="186">
        <v>0</v>
      </c>
      <c r="AI11" s="186">
        <v>0</v>
      </c>
      <c r="AJ11" s="186">
        <v>0</v>
      </c>
      <c r="AK11" s="341">
        <v>0</v>
      </c>
      <c r="AL11" s="186">
        <v>1</v>
      </c>
      <c r="AM11" s="186">
        <v>1</v>
      </c>
      <c r="AN11" s="186">
        <v>0</v>
      </c>
      <c r="AO11" s="341">
        <v>0</v>
      </c>
    </row>
    <row r="12" spans="1:48" ht="14.95" thickBot="1" x14ac:dyDescent="0.3">
      <c r="A12" s="104"/>
      <c r="B12" s="105"/>
      <c r="C12" s="716" t="s">
        <v>92</v>
      </c>
      <c r="D12" s="717"/>
      <c r="E12" s="718"/>
      <c r="F12" s="450">
        <f>SUM(F4:F6)</f>
        <v>47</v>
      </c>
      <c r="G12" s="450">
        <f t="shared" ref="G12:R12" si="0">SUM(G4:G6)</f>
        <v>132</v>
      </c>
      <c r="H12" s="450">
        <f t="shared" si="0"/>
        <v>0</v>
      </c>
      <c r="I12" s="450">
        <f t="shared" si="0"/>
        <v>0</v>
      </c>
      <c r="J12" s="450">
        <f t="shared" si="0"/>
        <v>7</v>
      </c>
      <c r="K12" s="450">
        <f t="shared" si="0"/>
        <v>6</v>
      </c>
      <c r="L12" s="450">
        <f t="shared" si="0"/>
        <v>0</v>
      </c>
      <c r="M12" s="450">
        <f t="shared" si="0"/>
        <v>0</v>
      </c>
      <c r="N12" s="450">
        <f t="shared" si="0"/>
        <v>1</v>
      </c>
      <c r="O12" s="450">
        <f t="shared" si="0"/>
        <v>1</v>
      </c>
      <c r="P12" s="450">
        <f t="shared" si="0"/>
        <v>1</v>
      </c>
      <c r="Q12" s="450">
        <f t="shared" si="0"/>
        <v>0</v>
      </c>
      <c r="R12" s="450">
        <f t="shared" si="0"/>
        <v>21</v>
      </c>
      <c r="S12" s="450"/>
      <c r="T12" s="447"/>
      <c r="U12" s="447"/>
      <c r="V12" s="447"/>
      <c r="W12" s="447"/>
      <c r="X12" s="448"/>
      <c r="Y12" s="451" t="s">
        <v>92</v>
      </c>
      <c r="Z12" s="450">
        <f t="shared" ref="Z12:AO12" si="1">SUM(Z4:Z6)</f>
        <v>3</v>
      </c>
      <c r="AA12" s="450">
        <f t="shared" si="1"/>
        <v>0</v>
      </c>
      <c r="AB12" s="450">
        <f t="shared" si="1"/>
        <v>0</v>
      </c>
      <c r="AC12" s="450">
        <f t="shared" si="1"/>
        <v>3</v>
      </c>
      <c r="AD12" s="452">
        <f t="shared" si="1"/>
        <v>1</v>
      </c>
      <c r="AE12" s="452">
        <f t="shared" si="1"/>
        <v>0</v>
      </c>
      <c r="AF12" s="452">
        <f t="shared" si="1"/>
        <v>0</v>
      </c>
      <c r="AG12" s="452">
        <f t="shared" si="1"/>
        <v>1</v>
      </c>
      <c r="AH12" s="453">
        <f t="shared" si="1"/>
        <v>2</v>
      </c>
      <c r="AI12" s="453">
        <f t="shared" si="1"/>
        <v>0</v>
      </c>
      <c r="AJ12" s="453">
        <f t="shared" si="1"/>
        <v>0</v>
      </c>
      <c r="AK12" s="453">
        <f t="shared" si="1"/>
        <v>2</v>
      </c>
      <c r="AL12" s="450">
        <f t="shared" si="1"/>
        <v>0</v>
      </c>
      <c r="AM12" s="450">
        <f t="shared" si="1"/>
        <v>0</v>
      </c>
      <c r="AN12" s="450">
        <f t="shared" si="1"/>
        <v>0</v>
      </c>
      <c r="AO12" s="450">
        <f t="shared" si="1"/>
        <v>0</v>
      </c>
    </row>
    <row r="13" spans="1:48" ht="14.95" thickBot="1" x14ac:dyDescent="0.3">
      <c r="A13" s="104"/>
      <c r="B13" s="105"/>
      <c r="C13" s="454" t="s">
        <v>237</v>
      </c>
      <c r="D13" s="455"/>
      <c r="E13" s="456"/>
      <c r="F13" s="457">
        <f>SUM(F9:F11)</f>
        <v>98</v>
      </c>
      <c r="G13" s="457">
        <f t="shared" ref="G13:R13" si="2">SUM(G9:G11)</f>
        <v>100</v>
      </c>
      <c r="H13" s="457">
        <f t="shared" si="2"/>
        <v>2</v>
      </c>
      <c r="I13" s="457">
        <f t="shared" si="2"/>
        <v>0</v>
      </c>
      <c r="J13" s="457">
        <f t="shared" si="2"/>
        <v>16</v>
      </c>
      <c r="K13" s="457">
        <f t="shared" si="2"/>
        <v>9</v>
      </c>
      <c r="L13" s="457">
        <f t="shared" si="2"/>
        <v>0</v>
      </c>
      <c r="M13" s="457">
        <f t="shared" si="2"/>
        <v>0</v>
      </c>
      <c r="N13" s="457">
        <f t="shared" si="2"/>
        <v>2</v>
      </c>
      <c r="O13" s="457">
        <f t="shared" si="2"/>
        <v>0</v>
      </c>
      <c r="P13" s="457">
        <f t="shared" si="2"/>
        <v>2</v>
      </c>
      <c r="Q13" s="457">
        <f t="shared" si="2"/>
        <v>0</v>
      </c>
      <c r="R13" s="457">
        <f t="shared" si="2"/>
        <v>16</v>
      </c>
      <c r="S13" s="467"/>
      <c r="T13" s="458"/>
      <c r="U13" s="458"/>
      <c r="V13" s="458"/>
      <c r="W13" s="458"/>
      <c r="X13" s="459"/>
      <c r="Y13" s="460" t="s">
        <v>237</v>
      </c>
      <c r="Z13" s="457">
        <f t="shared" ref="Z13:AO13" si="3">SUM(Z9:Z11)</f>
        <v>3</v>
      </c>
      <c r="AA13" s="457">
        <f t="shared" si="3"/>
        <v>1</v>
      </c>
      <c r="AB13" s="457">
        <f t="shared" si="3"/>
        <v>1</v>
      </c>
      <c r="AC13" s="457">
        <f t="shared" si="3"/>
        <v>1</v>
      </c>
      <c r="AD13" s="461">
        <f t="shared" si="3"/>
        <v>0</v>
      </c>
      <c r="AE13" s="461">
        <f t="shared" si="3"/>
        <v>0</v>
      </c>
      <c r="AF13" s="461">
        <f t="shared" si="3"/>
        <v>0</v>
      </c>
      <c r="AG13" s="461">
        <f t="shared" si="3"/>
        <v>0</v>
      </c>
      <c r="AH13" s="462">
        <f t="shared" si="3"/>
        <v>1</v>
      </c>
      <c r="AI13" s="462">
        <f t="shared" si="3"/>
        <v>0</v>
      </c>
      <c r="AJ13" s="462">
        <f t="shared" si="3"/>
        <v>0</v>
      </c>
      <c r="AK13" s="462">
        <f t="shared" si="3"/>
        <v>1</v>
      </c>
      <c r="AL13" s="457">
        <f t="shared" si="3"/>
        <v>2</v>
      </c>
      <c r="AM13" s="457">
        <f t="shared" si="3"/>
        <v>1</v>
      </c>
      <c r="AN13" s="457">
        <f t="shared" si="3"/>
        <v>1</v>
      </c>
      <c r="AO13" s="457">
        <f t="shared" si="3"/>
        <v>0</v>
      </c>
    </row>
    <row r="14" spans="1:48" ht="14.95" thickBot="1" x14ac:dyDescent="0.3">
      <c r="A14" s="104"/>
      <c r="B14" s="105"/>
      <c r="C14" s="728" t="s">
        <v>70</v>
      </c>
      <c r="D14" s="729"/>
      <c r="E14" s="730"/>
      <c r="F14" s="128">
        <f>SUM(F3:F11)</f>
        <v>219</v>
      </c>
      <c r="G14" s="128">
        <f t="shared" ref="G14:R14" si="4">SUM(G3:G11)</f>
        <v>337</v>
      </c>
      <c r="H14" s="128">
        <f t="shared" si="4"/>
        <v>2</v>
      </c>
      <c r="I14" s="128">
        <f t="shared" si="4"/>
        <v>0</v>
      </c>
      <c r="J14" s="128">
        <f t="shared" si="4"/>
        <v>34</v>
      </c>
      <c r="K14" s="128">
        <f t="shared" si="4"/>
        <v>23</v>
      </c>
      <c r="L14" s="128">
        <f t="shared" si="4"/>
        <v>0</v>
      </c>
      <c r="M14" s="128">
        <f t="shared" si="4"/>
        <v>1</v>
      </c>
      <c r="N14" s="128">
        <f t="shared" si="4"/>
        <v>6</v>
      </c>
      <c r="O14" s="128">
        <f t="shared" si="4"/>
        <v>1</v>
      </c>
      <c r="P14" s="128">
        <f t="shared" si="4"/>
        <v>3</v>
      </c>
      <c r="Q14" s="128">
        <f t="shared" si="4"/>
        <v>0</v>
      </c>
      <c r="R14" s="128">
        <f t="shared" si="4"/>
        <v>52</v>
      </c>
      <c r="S14" s="134"/>
      <c r="T14" s="197"/>
      <c r="U14" s="197"/>
      <c r="V14" s="197"/>
      <c r="W14" s="197"/>
      <c r="X14" s="12"/>
      <c r="Y14" s="133" t="s">
        <v>70</v>
      </c>
      <c r="Z14" s="128">
        <f t="shared" ref="Z14:AO14" si="5">SUM(Z3:Z11)</f>
        <v>9</v>
      </c>
      <c r="AA14" s="128">
        <f t="shared" si="5"/>
        <v>2</v>
      </c>
      <c r="AB14" s="128">
        <f t="shared" si="5"/>
        <v>1</v>
      </c>
      <c r="AC14" s="128">
        <f t="shared" si="5"/>
        <v>6</v>
      </c>
      <c r="AD14" s="126">
        <f t="shared" si="5"/>
        <v>3</v>
      </c>
      <c r="AE14" s="126">
        <f t="shared" si="5"/>
        <v>1</v>
      </c>
      <c r="AF14" s="126">
        <f t="shared" si="5"/>
        <v>0</v>
      </c>
      <c r="AG14" s="126">
        <f t="shared" si="5"/>
        <v>2</v>
      </c>
      <c r="AH14" s="127">
        <f t="shared" si="5"/>
        <v>4</v>
      </c>
      <c r="AI14" s="127">
        <f t="shared" si="5"/>
        <v>0</v>
      </c>
      <c r="AJ14" s="127">
        <f t="shared" si="5"/>
        <v>0</v>
      </c>
      <c r="AK14" s="127">
        <f t="shared" si="5"/>
        <v>4</v>
      </c>
      <c r="AL14" s="128">
        <f t="shared" si="5"/>
        <v>2</v>
      </c>
      <c r="AM14" s="128">
        <f t="shared" si="5"/>
        <v>1</v>
      </c>
      <c r="AN14" s="128">
        <f t="shared" si="5"/>
        <v>1</v>
      </c>
      <c r="AO14" s="128">
        <f t="shared" si="5"/>
        <v>0</v>
      </c>
    </row>
    <row r="15" spans="1:48" x14ac:dyDescent="0.25">
      <c r="A15" s="727" t="s">
        <v>53</v>
      </c>
      <c r="B15" s="687"/>
      <c r="C15" s="687"/>
      <c r="D15" s="687"/>
      <c r="E15" s="687"/>
      <c r="F15" s="687"/>
      <c r="G15" s="687"/>
      <c r="H15" s="687"/>
      <c r="I15" s="687"/>
      <c r="J15" s="687"/>
      <c r="K15" s="687"/>
      <c r="L15" s="687"/>
      <c r="M15" s="687"/>
      <c r="N15" s="687"/>
      <c r="O15" s="687"/>
      <c r="P15" s="687"/>
      <c r="Q15" s="687"/>
      <c r="R15" s="687"/>
      <c r="S15" s="687"/>
      <c r="T15" s="687"/>
      <c r="U15" s="687"/>
      <c r="V15" s="687"/>
      <c r="W15" s="687"/>
      <c r="X15" s="687"/>
      <c r="Y15" s="687"/>
      <c r="Z15" s="687"/>
      <c r="AA15" s="687"/>
      <c r="AB15" s="687"/>
      <c r="AC15" s="687"/>
      <c r="AD15" s="687"/>
      <c r="AE15" s="687"/>
      <c r="AF15" s="687"/>
      <c r="AG15" s="687"/>
      <c r="AH15" s="687"/>
      <c r="AI15" s="687"/>
      <c r="AJ15" s="687"/>
      <c r="AK15" s="687"/>
      <c r="AL15" s="687"/>
      <c r="AM15" s="687"/>
      <c r="AN15" s="687"/>
      <c r="AO15" s="687"/>
    </row>
    <row r="16" spans="1:48" x14ac:dyDescent="0.25">
      <c r="A16" s="410" t="s">
        <v>349</v>
      </c>
    </row>
    <row r="17" spans="1:41" x14ac:dyDescent="0.25">
      <c r="A17" s="410" t="s">
        <v>406</v>
      </c>
    </row>
    <row r="18" spans="1:41" x14ac:dyDescent="0.25">
      <c r="A18" t="s">
        <v>576</v>
      </c>
    </row>
    <row r="19" spans="1:41" x14ac:dyDescent="0.25">
      <c r="A19" t="s">
        <v>569</v>
      </c>
    </row>
    <row r="20" spans="1:41" x14ac:dyDescent="0.25">
      <c r="A20" s="727" t="s">
        <v>701</v>
      </c>
      <c r="B20" s="687"/>
      <c r="C20" s="687"/>
      <c r="D20" s="687"/>
      <c r="E20" s="687"/>
      <c r="F20" s="687"/>
      <c r="G20" s="687"/>
      <c r="H20" s="687"/>
      <c r="I20" s="687"/>
      <c r="J20" s="687"/>
      <c r="K20" s="687"/>
      <c r="L20" s="687"/>
      <c r="M20" s="687"/>
      <c r="N20" s="687"/>
      <c r="O20" s="687"/>
      <c r="P20" s="687"/>
      <c r="Q20" s="687"/>
      <c r="R20" s="687"/>
      <c r="S20" s="687"/>
      <c r="T20" s="687"/>
      <c r="U20" s="687"/>
      <c r="V20" s="687"/>
      <c r="W20" s="687"/>
      <c r="X20" s="687"/>
      <c r="Y20" s="687"/>
      <c r="Z20" s="687"/>
      <c r="AA20" s="687"/>
      <c r="AB20" s="687"/>
      <c r="AC20" s="687"/>
      <c r="AD20" s="687"/>
      <c r="AE20" s="687"/>
      <c r="AF20" s="687"/>
      <c r="AG20" s="687"/>
      <c r="AH20" s="687"/>
      <c r="AI20" s="687"/>
      <c r="AJ20" s="687"/>
      <c r="AK20" s="687"/>
      <c r="AL20" s="687"/>
      <c r="AM20" s="687"/>
      <c r="AN20" s="687"/>
      <c r="AO20" s="687"/>
    </row>
    <row r="21" spans="1:41" x14ac:dyDescent="0.25">
      <c r="A21" t="s">
        <v>661</v>
      </c>
    </row>
    <row r="22" spans="1:41" x14ac:dyDescent="0.25">
      <c r="A22" t="s">
        <v>75</v>
      </c>
    </row>
    <row r="23" spans="1:41" x14ac:dyDescent="0.25">
      <c r="A23" s="313"/>
      <c r="B23" s="73" t="s">
        <v>40</v>
      </c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</row>
    <row r="24" spans="1:41" x14ac:dyDescent="0.25">
      <c r="A24" s="314"/>
      <c r="B24" s="73" t="s">
        <v>38</v>
      </c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</row>
    <row r="25" spans="1:41" x14ac:dyDescent="0.25">
      <c r="A25" s="315"/>
      <c r="B25" s="73" t="s">
        <v>39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</row>
    <row r="26" spans="1:41" ht="16.3" x14ac:dyDescent="0.3">
      <c r="A26" s="681" t="s">
        <v>28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</row>
  </sheetData>
  <mergeCells count="14">
    <mergeCell ref="A20:AO20"/>
    <mergeCell ref="C14:E14"/>
    <mergeCell ref="A15:AO15"/>
    <mergeCell ref="Z1:AC1"/>
    <mergeCell ref="AD1:AG1"/>
    <mergeCell ref="AH1:AK1"/>
    <mergeCell ref="AL1:AO1"/>
    <mergeCell ref="C12:E12"/>
    <mergeCell ref="A1:C1"/>
    <mergeCell ref="E1:G1"/>
    <mergeCell ref="H1:I1"/>
    <mergeCell ref="J1:M1"/>
    <mergeCell ref="N1:O1"/>
    <mergeCell ref="P1:R1"/>
  </mergeCells>
  <pageMargins left="0.7" right="0.7" top="0.75" bottom="0.75" header="0.3" footer="0.3"/>
  <ignoredErrors>
    <ignoredError sqref="T4 T8:T10" twoDigitTextYear="1"/>
    <ignoredError sqref="T12:AO12 T13:X13 Z13:AO13 D13:R13 F12:R12" formulaRange="1"/>
  </ignoredError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U27"/>
  <sheetViews>
    <sheetView zoomScaleNormal="100" workbookViewId="0">
      <selection activeCell="T27" sqref="T27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5" bestFit="1" customWidth="1"/>
    <col min="5" max="18" width="3.75" customWidth="1"/>
    <col min="19" max="20" width="6.25" customWidth="1"/>
    <col min="21" max="21" width="21" bestFit="1" customWidth="1"/>
    <col min="22" max="23" width="21.875" bestFit="1" customWidth="1"/>
    <col min="24" max="24" width="23.625" bestFit="1" customWidth="1"/>
    <col min="25" max="25" width="18.625" bestFit="1" customWidth="1"/>
    <col min="26" max="29" width="4.25" customWidth="1"/>
    <col min="30" max="41" width="3.75" customWidth="1"/>
    <col min="46" max="46" width="9.875" bestFit="1" customWidth="1"/>
  </cols>
  <sheetData>
    <row r="1" spans="1:47" ht="14.95" customHeight="1" thickBot="1" x14ac:dyDescent="0.3">
      <c r="A1" s="899" t="s">
        <v>205</v>
      </c>
      <c r="B1" s="900"/>
      <c r="C1" s="900"/>
      <c r="D1" s="45"/>
      <c r="E1" s="901" t="s">
        <v>24</v>
      </c>
      <c r="F1" s="902"/>
      <c r="G1" s="903"/>
      <c r="H1" s="901" t="s">
        <v>23</v>
      </c>
      <c r="I1" s="903"/>
      <c r="J1" s="896" t="s">
        <v>6</v>
      </c>
      <c r="K1" s="897"/>
      <c r="L1" s="897"/>
      <c r="M1" s="898"/>
      <c r="N1" s="896" t="s">
        <v>7</v>
      </c>
      <c r="O1" s="898"/>
      <c r="P1" s="896" t="s">
        <v>25</v>
      </c>
      <c r="Q1" s="897"/>
      <c r="R1" s="898"/>
      <c r="S1" s="131" t="s">
        <v>8</v>
      </c>
      <c r="T1" s="131" t="s">
        <v>9</v>
      </c>
      <c r="U1" s="1" t="s">
        <v>10</v>
      </c>
      <c r="V1" s="6" t="s">
        <v>11</v>
      </c>
      <c r="W1" s="1" t="s">
        <v>109</v>
      </c>
      <c r="X1" s="15" t="s">
        <v>26</v>
      </c>
      <c r="Y1" s="46" t="s">
        <v>27</v>
      </c>
      <c r="Z1" s="895" t="s">
        <v>20</v>
      </c>
      <c r="AA1" s="801"/>
      <c r="AB1" s="801"/>
      <c r="AC1" s="802"/>
      <c r="AD1" s="895" t="s">
        <v>56</v>
      </c>
      <c r="AE1" s="801"/>
      <c r="AF1" s="801"/>
      <c r="AG1" s="802"/>
      <c r="AH1" s="895" t="s">
        <v>57</v>
      </c>
      <c r="AI1" s="801"/>
      <c r="AJ1" s="801"/>
      <c r="AK1" s="802"/>
      <c r="AL1" s="895" t="s">
        <v>58</v>
      </c>
      <c r="AM1" s="801"/>
      <c r="AN1" s="801"/>
      <c r="AO1" s="802"/>
    </row>
    <row r="2" spans="1:47" ht="14.95" customHeight="1" thickBot="1" x14ac:dyDescent="0.3">
      <c r="A2" s="7" t="s">
        <v>19</v>
      </c>
      <c r="B2" s="8" t="s">
        <v>18</v>
      </c>
      <c r="C2" s="9" t="s">
        <v>17</v>
      </c>
      <c r="D2" s="10" t="s">
        <v>37</v>
      </c>
      <c r="E2" s="10" t="s">
        <v>16</v>
      </c>
      <c r="F2" s="10" t="s">
        <v>4</v>
      </c>
      <c r="G2" s="10" t="s">
        <v>5</v>
      </c>
      <c r="H2" s="11" t="s">
        <v>12</v>
      </c>
      <c r="I2" s="11" t="s">
        <v>3</v>
      </c>
      <c r="J2" s="11" t="s">
        <v>12</v>
      </c>
      <c r="K2" s="11" t="s">
        <v>13</v>
      </c>
      <c r="L2" s="11" t="s">
        <v>2</v>
      </c>
      <c r="M2" s="11" t="s">
        <v>14</v>
      </c>
      <c r="N2" s="11" t="s">
        <v>15</v>
      </c>
      <c r="O2" s="11" t="s">
        <v>16</v>
      </c>
      <c r="P2" s="11" t="s">
        <v>21</v>
      </c>
      <c r="Q2" s="11" t="s">
        <v>22</v>
      </c>
      <c r="R2" s="11" t="s">
        <v>12</v>
      </c>
      <c r="S2" s="2"/>
      <c r="T2" s="3"/>
      <c r="U2" s="4"/>
      <c r="V2" s="2"/>
      <c r="W2" s="4"/>
      <c r="X2" s="16"/>
      <c r="Y2" s="5"/>
      <c r="Z2" s="115" t="s">
        <v>0</v>
      </c>
      <c r="AA2" s="115" t="s">
        <v>1</v>
      </c>
      <c r="AB2" s="115" t="s">
        <v>2</v>
      </c>
      <c r="AC2" s="115" t="s">
        <v>3</v>
      </c>
      <c r="AD2" s="115" t="s">
        <v>0</v>
      </c>
      <c r="AE2" s="115" t="s">
        <v>1</v>
      </c>
      <c r="AF2" s="115" t="s">
        <v>2</v>
      </c>
      <c r="AG2" s="115" t="s">
        <v>3</v>
      </c>
      <c r="AH2" s="115" t="s">
        <v>0</v>
      </c>
      <c r="AI2" s="115" t="s">
        <v>1</v>
      </c>
      <c r="AJ2" s="115" t="s">
        <v>2</v>
      </c>
      <c r="AK2" s="115" t="s">
        <v>3</v>
      </c>
      <c r="AL2" s="115" t="s">
        <v>0</v>
      </c>
      <c r="AM2" s="115" t="s">
        <v>1</v>
      </c>
      <c r="AN2" s="115" t="s">
        <v>2</v>
      </c>
      <c r="AO2" s="115" t="s">
        <v>3</v>
      </c>
      <c r="AT2" s="73" t="s">
        <v>508</v>
      </c>
    </row>
    <row r="3" spans="1:47" ht="14.95" customHeight="1" thickBot="1" x14ac:dyDescent="0.3">
      <c r="A3" s="155" t="s">
        <v>207</v>
      </c>
      <c r="B3" s="157" t="s">
        <v>41</v>
      </c>
      <c r="C3" s="157" t="s">
        <v>34</v>
      </c>
      <c r="D3" s="157" t="s">
        <v>84</v>
      </c>
      <c r="E3" s="158" t="s">
        <v>3</v>
      </c>
      <c r="F3" s="158">
        <v>21</v>
      </c>
      <c r="G3" s="158">
        <v>24</v>
      </c>
      <c r="H3" s="375">
        <v>0</v>
      </c>
      <c r="I3" s="375">
        <v>1</v>
      </c>
      <c r="J3" s="375">
        <v>3</v>
      </c>
      <c r="K3" s="375">
        <v>3</v>
      </c>
      <c r="L3" s="375">
        <v>0</v>
      </c>
      <c r="M3" s="375">
        <v>0</v>
      </c>
      <c r="N3" s="375">
        <v>1</v>
      </c>
      <c r="O3" s="375">
        <v>1</v>
      </c>
      <c r="P3" s="375">
        <v>0</v>
      </c>
      <c r="Q3" s="375">
        <v>0</v>
      </c>
      <c r="R3" s="375">
        <v>3</v>
      </c>
      <c r="S3" s="162"/>
      <c r="T3" s="166" t="s">
        <v>254</v>
      </c>
      <c r="U3" s="164" t="s">
        <v>252</v>
      </c>
      <c r="V3" s="162" t="s">
        <v>158</v>
      </c>
      <c r="W3" s="162" t="s">
        <v>110</v>
      </c>
      <c r="X3" s="159" t="s">
        <v>163</v>
      </c>
      <c r="Y3" s="165" t="s">
        <v>155</v>
      </c>
      <c r="Z3" s="159">
        <v>1</v>
      </c>
      <c r="AA3" s="159">
        <v>0</v>
      </c>
      <c r="AB3" s="159">
        <v>0</v>
      </c>
      <c r="AC3" s="523">
        <v>1</v>
      </c>
      <c r="AD3" s="159">
        <v>0</v>
      </c>
      <c r="AE3" s="159">
        <v>0</v>
      </c>
      <c r="AF3" s="159">
        <v>0</v>
      </c>
      <c r="AG3" s="523">
        <v>0</v>
      </c>
      <c r="AH3" s="159">
        <v>1</v>
      </c>
      <c r="AI3" s="159">
        <v>0</v>
      </c>
      <c r="AJ3" s="159">
        <v>0</v>
      </c>
      <c r="AK3" s="523">
        <v>1</v>
      </c>
      <c r="AL3" s="159">
        <v>0</v>
      </c>
      <c r="AM3" s="159">
        <v>0</v>
      </c>
      <c r="AN3" s="159">
        <v>0</v>
      </c>
      <c r="AO3" s="523">
        <v>0</v>
      </c>
      <c r="AT3" s="515" t="s">
        <v>503</v>
      </c>
      <c r="AU3" s="516">
        <v>39</v>
      </c>
    </row>
    <row r="4" spans="1:47" ht="14.95" customHeight="1" thickBot="1" x14ac:dyDescent="0.3">
      <c r="A4" s="170" t="s">
        <v>208</v>
      </c>
      <c r="B4" s="171" t="s">
        <v>41</v>
      </c>
      <c r="C4" s="171" t="s">
        <v>30</v>
      </c>
      <c r="D4" s="171" t="s">
        <v>216</v>
      </c>
      <c r="E4" s="172" t="s">
        <v>3</v>
      </c>
      <c r="F4" s="172">
        <v>12</v>
      </c>
      <c r="G4" s="172">
        <v>67</v>
      </c>
      <c r="H4" s="374">
        <v>0</v>
      </c>
      <c r="I4" s="374">
        <v>0</v>
      </c>
      <c r="J4" s="374">
        <v>2</v>
      </c>
      <c r="K4" s="374">
        <v>1</v>
      </c>
      <c r="L4" s="374">
        <v>0</v>
      </c>
      <c r="M4" s="374">
        <v>0</v>
      </c>
      <c r="N4" s="374">
        <v>0</v>
      </c>
      <c r="O4" s="374">
        <v>0</v>
      </c>
      <c r="P4" s="374">
        <v>1</v>
      </c>
      <c r="Q4" s="374">
        <v>0</v>
      </c>
      <c r="R4" s="374">
        <v>11</v>
      </c>
      <c r="S4" s="173"/>
      <c r="T4" s="174" t="s">
        <v>275</v>
      </c>
      <c r="U4" s="175" t="s">
        <v>114</v>
      </c>
      <c r="V4" s="173" t="s">
        <v>158</v>
      </c>
      <c r="W4" s="173" t="s">
        <v>136</v>
      </c>
      <c r="X4" s="176" t="s">
        <v>119</v>
      </c>
      <c r="Y4" s="177" t="s">
        <v>131</v>
      </c>
      <c r="Z4" s="176">
        <v>1</v>
      </c>
      <c r="AA4" s="176">
        <v>0</v>
      </c>
      <c r="AB4" s="176">
        <v>0</v>
      </c>
      <c r="AC4" s="342">
        <v>1</v>
      </c>
      <c r="AD4" s="176">
        <v>1</v>
      </c>
      <c r="AE4" s="176">
        <v>0</v>
      </c>
      <c r="AF4" s="176">
        <v>0</v>
      </c>
      <c r="AG4" s="342">
        <v>1</v>
      </c>
      <c r="AH4" s="176">
        <v>0</v>
      </c>
      <c r="AI4" s="176">
        <v>0</v>
      </c>
      <c r="AJ4" s="176">
        <v>0</v>
      </c>
      <c r="AK4" s="342">
        <v>0</v>
      </c>
      <c r="AL4" s="176">
        <v>0</v>
      </c>
      <c r="AM4" s="176">
        <v>0</v>
      </c>
      <c r="AN4" s="176">
        <v>0</v>
      </c>
      <c r="AO4" s="342">
        <v>0</v>
      </c>
      <c r="AT4" s="517" t="s">
        <v>504</v>
      </c>
      <c r="AU4" s="518">
        <v>14</v>
      </c>
    </row>
    <row r="5" spans="1:47" ht="14.95" customHeight="1" thickBot="1" x14ac:dyDescent="0.3">
      <c r="A5" s="155" t="s">
        <v>212</v>
      </c>
      <c r="B5" s="157" t="s">
        <v>41</v>
      </c>
      <c r="C5" s="157" t="s">
        <v>33</v>
      </c>
      <c r="D5" s="157" t="s">
        <v>213</v>
      </c>
      <c r="E5" s="158" t="s">
        <v>3</v>
      </c>
      <c r="F5" s="158">
        <v>12</v>
      </c>
      <c r="G5" s="158">
        <v>42</v>
      </c>
      <c r="H5" s="375">
        <v>0</v>
      </c>
      <c r="I5" s="375">
        <v>0</v>
      </c>
      <c r="J5" s="375">
        <v>2</v>
      </c>
      <c r="K5" s="375">
        <v>1</v>
      </c>
      <c r="L5" s="375">
        <v>0</v>
      </c>
      <c r="M5" s="375">
        <v>0</v>
      </c>
      <c r="N5" s="375">
        <v>1</v>
      </c>
      <c r="O5" s="375">
        <v>0</v>
      </c>
      <c r="P5" s="375">
        <v>1</v>
      </c>
      <c r="Q5" s="375">
        <v>0</v>
      </c>
      <c r="R5" s="375">
        <v>6</v>
      </c>
      <c r="S5" s="162"/>
      <c r="T5" s="166" t="s">
        <v>186</v>
      </c>
      <c r="U5" s="164" t="s">
        <v>117</v>
      </c>
      <c r="V5" s="162" t="s">
        <v>115</v>
      </c>
      <c r="W5" s="162" t="s">
        <v>141</v>
      </c>
      <c r="X5" s="159" t="s">
        <v>116</v>
      </c>
      <c r="Y5" s="165" t="s">
        <v>131</v>
      </c>
      <c r="Z5" s="159">
        <v>1</v>
      </c>
      <c r="AA5" s="159">
        <v>0</v>
      </c>
      <c r="AB5" s="159">
        <v>0</v>
      </c>
      <c r="AC5" s="523">
        <v>1</v>
      </c>
      <c r="AD5" s="159">
        <v>0</v>
      </c>
      <c r="AE5" s="159">
        <v>0</v>
      </c>
      <c r="AF5" s="159">
        <v>0</v>
      </c>
      <c r="AG5" s="523">
        <v>0</v>
      </c>
      <c r="AH5" s="159">
        <v>1</v>
      </c>
      <c r="AI5" s="159">
        <v>0</v>
      </c>
      <c r="AJ5" s="159">
        <v>0</v>
      </c>
      <c r="AK5" s="523">
        <v>1</v>
      </c>
      <c r="AL5" s="159">
        <v>0</v>
      </c>
      <c r="AM5" s="159">
        <v>0</v>
      </c>
      <c r="AN5" s="159">
        <v>0</v>
      </c>
      <c r="AO5" s="523">
        <v>0</v>
      </c>
      <c r="AT5" s="517" t="s">
        <v>505</v>
      </c>
      <c r="AU5" s="518">
        <v>1</v>
      </c>
    </row>
    <row r="6" spans="1:47" ht="14.95" customHeight="1" thickBot="1" x14ac:dyDescent="0.3">
      <c r="A6" s="170" t="s">
        <v>107</v>
      </c>
      <c r="B6" s="171" t="s">
        <v>41</v>
      </c>
      <c r="C6" s="171" t="s">
        <v>35</v>
      </c>
      <c r="D6" s="171" t="s">
        <v>180</v>
      </c>
      <c r="E6" s="172" t="s">
        <v>3</v>
      </c>
      <c r="F6" s="172">
        <v>14</v>
      </c>
      <c r="G6" s="172">
        <v>40</v>
      </c>
      <c r="H6" s="374">
        <v>0</v>
      </c>
      <c r="I6" s="374">
        <v>0</v>
      </c>
      <c r="J6" s="374">
        <v>2</v>
      </c>
      <c r="K6" s="374">
        <v>2</v>
      </c>
      <c r="L6" s="374">
        <v>0</v>
      </c>
      <c r="M6" s="374">
        <v>0</v>
      </c>
      <c r="N6" s="374">
        <v>0</v>
      </c>
      <c r="O6" s="374">
        <v>0</v>
      </c>
      <c r="P6" s="374">
        <v>1</v>
      </c>
      <c r="Q6" s="374">
        <v>0</v>
      </c>
      <c r="R6" s="374">
        <v>6</v>
      </c>
      <c r="S6" s="173"/>
      <c r="T6" s="174" t="s">
        <v>189</v>
      </c>
      <c r="U6" s="175" t="s">
        <v>272</v>
      </c>
      <c r="V6" s="173" t="s">
        <v>110</v>
      </c>
      <c r="W6" s="173" t="s">
        <v>139</v>
      </c>
      <c r="X6" s="176" t="s">
        <v>119</v>
      </c>
      <c r="Y6" s="177" t="s">
        <v>131</v>
      </c>
      <c r="Z6" s="176">
        <v>1</v>
      </c>
      <c r="AA6" s="176">
        <v>0</v>
      </c>
      <c r="AB6" s="176">
        <v>0</v>
      </c>
      <c r="AC6" s="342">
        <v>1</v>
      </c>
      <c r="AD6" s="176">
        <v>1</v>
      </c>
      <c r="AE6" s="176">
        <v>0</v>
      </c>
      <c r="AF6" s="176">
        <v>0</v>
      </c>
      <c r="AG6" s="342">
        <v>1</v>
      </c>
      <c r="AH6" s="176">
        <v>0</v>
      </c>
      <c r="AI6" s="176">
        <v>0</v>
      </c>
      <c r="AJ6" s="176">
        <v>0</v>
      </c>
      <c r="AK6" s="342">
        <v>0</v>
      </c>
      <c r="AL6" s="176">
        <v>0</v>
      </c>
      <c r="AM6" s="176">
        <v>0</v>
      </c>
      <c r="AN6" s="176">
        <v>0</v>
      </c>
      <c r="AO6" s="342">
        <v>0</v>
      </c>
      <c r="AT6" s="517" t="s">
        <v>506</v>
      </c>
      <c r="AU6" s="518">
        <v>24</v>
      </c>
    </row>
    <row r="7" spans="1:47" ht="14.95" customHeight="1" thickBot="1" x14ac:dyDescent="0.35">
      <c r="A7" s="155" t="s">
        <v>301</v>
      </c>
      <c r="B7" s="157" t="s">
        <v>41</v>
      </c>
      <c r="C7" s="157" t="s">
        <v>32</v>
      </c>
      <c r="D7" s="157" t="s">
        <v>211</v>
      </c>
      <c r="E7" s="158" t="s">
        <v>3</v>
      </c>
      <c r="F7" s="158">
        <v>12</v>
      </c>
      <c r="G7" s="158">
        <v>44</v>
      </c>
      <c r="H7" s="375">
        <v>0</v>
      </c>
      <c r="I7" s="375">
        <v>0</v>
      </c>
      <c r="J7" s="375">
        <v>2</v>
      </c>
      <c r="K7" s="375">
        <v>1</v>
      </c>
      <c r="L7" s="375">
        <v>0</v>
      </c>
      <c r="M7" s="375">
        <v>0</v>
      </c>
      <c r="N7" s="375">
        <v>1</v>
      </c>
      <c r="O7" s="375">
        <v>0</v>
      </c>
      <c r="P7" s="375">
        <v>1</v>
      </c>
      <c r="Q7" s="375">
        <v>0</v>
      </c>
      <c r="R7" s="375">
        <v>6</v>
      </c>
      <c r="S7" s="159"/>
      <c r="T7" s="358" t="s">
        <v>324</v>
      </c>
      <c r="U7" s="159" t="s">
        <v>116</v>
      </c>
      <c r="V7" s="159" t="s">
        <v>139</v>
      </c>
      <c r="W7" s="159" t="s">
        <v>110</v>
      </c>
      <c r="X7" s="159" t="s">
        <v>112</v>
      </c>
      <c r="Y7" s="165" t="s">
        <v>178</v>
      </c>
      <c r="Z7" s="159">
        <v>1</v>
      </c>
      <c r="AA7" s="159">
        <v>0</v>
      </c>
      <c r="AB7" s="159">
        <v>0</v>
      </c>
      <c r="AC7" s="523">
        <v>1</v>
      </c>
      <c r="AD7" s="159">
        <v>0</v>
      </c>
      <c r="AE7" s="159">
        <v>0</v>
      </c>
      <c r="AF7" s="159">
        <v>0</v>
      </c>
      <c r="AG7" s="523">
        <v>0</v>
      </c>
      <c r="AH7" s="159">
        <v>1</v>
      </c>
      <c r="AI7" s="159">
        <v>0</v>
      </c>
      <c r="AJ7" s="159">
        <v>0</v>
      </c>
      <c r="AK7" s="523">
        <v>1</v>
      </c>
      <c r="AL7" s="159">
        <v>0</v>
      </c>
      <c r="AM7" s="159">
        <v>0</v>
      </c>
      <c r="AN7" s="159">
        <v>0</v>
      </c>
      <c r="AO7" s="523">
        <v>0</v>
      </c>
      <c r="AT7" s="517" t="s">
        <v>507</v>
      </c>
      <c r="AU7" s="518">
        <v>678</v>
      </c>
    </row>
    <row r="8" spans="1:47" ht="14.95" customHeight="1" thickBot="1" x14ac:dyDescent="0.35">
      <c r="A8" s="312" t="s">
        <v>226</v>
      </c>
      <c r="B8" s="167" t="s">
        <v>161</v>
      </c>
      <c r="C8" s="157" t="s">
        <v>29</v>
      </c>
      <c r="D8" s="397" t="s">
        <v>227</v>
      </c>
      <c r="E8" s="364" t="s">
        <v>1</v>
      </c>
      <c r="F8" s="158">
        <v>21</v>
      </c>
      <c r="G8" s="158">
        <v>12</v>
      </c>
      <c r="H8" s="375" t="s">
        <v>69</v>
      </c>
      <c r="I8" s="375" t="s">
        <v>69</v>
      </c>
      <c r="J8" s="375">
        <v>3</v>
      </c>
      <c r="K8" s="375">
        <v>3</v>
      </c>
      <c r="L8" s="375">
        <v>0</v>
      </c>
      <c r="M8" s="375">
        <v>0</v>
      </c>
      <c r="N8" s="375">
        <v>0</v>
      </c>
      <c r="O8" s="375">
        <v>0</v>
      </c>
      <c r="P8" s="375" t="s">
        <v>69</v>
      </c>
      <c r="Q8" s="375" t="s">
        <v>69</v>
      </c>
      <c r="R8" s="375">
        <v>2</v>
      </c>
      <c r="S8" s="159"/>
      <c r="T8" s="382" t="s">
        <v>529</v>
      </c>
      <c r="U8" s="159" t="s">
        <v>144</v>
      </c>
      <c r="V8" s="159" t="s">
        <v>141</v>
      </c>
      <c r="W8" s="159" t="s">
        <v>158</v>
      </c>
      <c r="X8" s="159" t="s">
        <v>145</v>
      </c>
      <c r="Y8" s="159" t="s">
        <v>163</v>
      </c>
      <c r="Z8" s="159">
        <v>1</v>
      </c>
      <c r="AA8" s="159">
        <v>1</v>
      </c>
      <c r="AB8" s="159">
        <v>0</v>
      </c>
      <c r="AC8" s="523">
        <v>0</v>
      </c>
      <c r="AD8" s="159">
        <v>0</v>
      </c>
      <c r="AE8" s="159">
        <v>0</v>
      </c>
      <c r="AF8" s="159">
        <v>0</v>
      </c>
      <c r="AG8" s="523">
        <v>0</v>
      </c>
      <c r="AH8" s="159">
        <v>1</v>
      </c>
      <c r="AI8" s="159">
        <v>1</v>
      </c>
      <c r="AJ8" s="159">
        <v>0</v>
      </c>
      <c r="AK8" s="523">
        <v>0</v>
      </c>
      <c r="AL8" s="159">
        <v>0</v>
      </c>
      <c r="AM8" s="159">
        <v>0</v>
      </c>
      <c r="AN8" s="159">
        <v>0</v>
      </c>
      <c r="AO8" s="523">
        <v>0</v>
      </c>
    </row>
    <row r="9" spans="1:47" ht="14.95" customHeight="1" thickBot="1" x14ac:dyDescent="0.3">
      <c r="A9" s="357" t="s">
        <v>229</v>
      </c>
      <c r="B9" s="167" t="s">
        <v>161</v>
      </c>
      <c r="C9" s="157" t="s">
        <v>29</v>
      </c>
      <c r="D9" s="167" t="s">
        <v>230</v>
      </c>
      <c r="E9" s="158" t="s">
        <v>3</v>
      </c>
      <c r="F9" s="158">
        <v>5</v>
      </c>
      <c r="G9" s="158">
        <v>36</v>
      </c>
      <c r="H9" s="375" t="s">
        <v>69</v>
      </c>
      <c r="I9" s="375" t="s">
        <v>69</v>
      </c>
      <c r="J9" s="375">
        <v>1</v>
      </c>
      <c r="K9" s="375">
        <v>0</v>
      </c>
      <c r="L9" s="375">
        <v>0</v>
      </c>
      <c r="M9" s="375">
        <v>0</v>
      </c>
      <c r="N9" s="375">
        <v>1</v>
      </c>
      <c r="O9" s="375">
        <v>0</v>
      </c>
      <c r="P9" s="375" t="s">
        <v>69</v>
      </c>
      <c r="Q9" s="375" t="s">
        <v>69</v>
      </c>
      <c r="R9" s="375">
        <v>6</v>
      </c>
      <c r="S9" s="159">
        <v>4561</v>
      </c>
      <c r="T9" s="168" t="s">
        <v>537</v>
      </c>
      <c r="U9" s="159" t="s">
        <v>145</v>
      </c>
      <c r="V9" s="159" t="s">
        <v>141</v>
      </c>
      <c r="W9" s="159" t="s">
        <v>158</v>
      </c>
      <c r="X9" s="159" t="s">
        <v>144</v>
      </c>
      <c r="Y9" s="165" t="s">
        <v>163</v>
      </c>
      <c r="Z9" s="159">
        <v>1</v>
      </c>
      <c r="AA9" s="159">
        <v>0</v>
      </c>
      <c r="AB9" s="159">
        <v>0</v>
      </c>
      <c r="AC9" s="523">
        <v>1</v>
      </c>
      <c r="AD9" s="159">
        <v>0</v>
      </c>
      <c r="AE9" s="159">
        <v>0</v>
      </c>
      <c r="AF9" s="159">
        <v>0</v>
      </c>
      <c r="AG9" s="523">
        <v>0</v>
      </c>
      <c r="AH9" s="159">
        <v>1</v>
      </c>
      <c r="AI9" s="159">
        <v>0</v>
      </c>
      <c r="AJ9" s="159">
        <v>0</v>
      </c>
      <c r="AK9" s="523">
        <v>1</v>
      </c>
      <c r="AL9" s="159">
        <v>0</v>
      </c>
      <c r="AM9" s="159">
        <v>0</v>
      </c>
      <c r="AN9" s="159">
        <v>0</v>
      </c>
      <c r="AO9" s="523">
        <v>0</v>
      </c>
    </row>
    <row r="10" spans="1:47" ht="14.95" customHeight="1" thickBot="1" x14ac:dyDescent="0.3">
      <c r="A10" s="201" t="s">
        <v>240</v>
      </c>
      <c r="B10" s="202" t="s">
        <v>231</v>
      </c>
      <c r="C10" s="202" t="s">
        <v>34</v>
      </c>
      <c r="D10" s="296" t="s">
        <v>246</v>
      </c>
      <c r="E10" s="134" t="s">
        <v>3</v>
      </c>
      <c r="F10" s="184">
        <v>8</v>
      </c>
      <c r="G10" s="184">
        <v>38</v>
      </c>
      <c r="H10" s="373">
        <v>0</v>
      </c>
      <c r="I10" s="373">
        <v>0</v>
      </c>
      <c r="J10" s="373">
        <v>1</v>
      </c>
      <c r="K10" s="373">
        <v>0</v>
      </c>
      <c r="L10" s="373">
        <v>0</v>
      </c>
      <c r="M10" s="373">
        <v>1</v>
      </c>
      <c r="N10" s="373">
        <v>1</v>
      </c>
      <c r="O10" s="373">
        <v>0</v>
      </c>
      <c r="P10" s="373">
        <v>1</v>
      </c>
      <c r="Q10" s="373">
        <v>0</v>
      </c>
      <c r="R10" s="373">
        <v>6</v>
      </c>
      <c r="S10" s="186">
        <v>10054</v>
      </c>
      <c r="T10" s="204" t="s">
        <v>671</v>
      </c>
      <c r="U10" s="186" t="s">
        <v>144</v>
      </c>
      <c r="V10" s="186" t="s">
        <v>110</v>
      </c>
      <c r="W10" s="186" t="s">
        <v>141</v>
      </c>
      <c r="X10" s="186" t="s">
        <v>117</v>
      </c>
      <c r="Y10" s="297" t="s">
        <v>163</v>
      </c>
      <c r="Z10" s="186">
        <v>1</v>
      </c>
      <c r="AA10" s="626">
        <v>0</v>
      </c>
      <c r="AB10" s="626">
        <v>0</v>
      </c>
      <c r="AC10" s="649">
        <v>1</v>
      </c>
      <c r="AD10" s="626">
        <v>0</v>
      </c>
      <c r="AE10" s="626">
        <v>0</v>
      </c>
      <c r="AF10" s="626">
        <v>0</v>
      </c>
      <c r="AG10" s="649">
        <v>0</v>
      </c>
      <c r="AH10" s="626">
        <v>0</v>
      </c>
      <c r="AI10" s="626">
        <v>0</v>
      </c>
      <c r="AJ10" s="626">
        <v>0</v>
      </c>
      <c r="AK10" s="649">
        <v>0</v>
      </c>
      <c r="AL10" s="626">
        <v>1</v>
      </c>
      <c r="AM10" s="626">
        <v>0</v>
      </c>
      <c r="AN10" s="626">
        <v>0</v>
      </c>
      <c r="AO10" s="649">
        <v>1</v>
      </c>
    </row>
    <row r="11" spans="1:47" ht="14.95" customHeight="1" thickBot="1" x14ac:dyDescent="0.3">
      <c r="A11" s="201" t="s">
        <v>234</v>
      </c>
      <c r="B11" s="202" t="s">
        <v>231</v>
      </c>
      <c r="C11" s="202" t="s">
        <v>36</v>
      </c>
      <c r="D11" s="296" t="s">
        <v>246</v>
      </c>
      <c r="E11" s="134" t="s">
        <v>3</v>
      </c>
      <c r="F11" s="184">
        <v>0</v>
      </c>
      <c r="G11" s="184">
        <v>42</v>
      </c>
      <c r="H11" s="373">
        <v>0</v>
      </c>
      <c r="I11" s="373">
        <v>0</v>
      </c>
      <c r="J11" s="373">
        <v>0</v>
      </c>
      <c r="K11" s="373">
        <v>0</v>
      </c>
      <c r="L11" s="373">
        <v>0</v>
      </c>
      <c r="M11" s="373">
        <v>0</v>
      </c>
      <c r="N11" s="373">
        <v>1</v>
      </c>
      <c r="O11" s="373">
        <v>0</v>
      </c>
      <c r="P11" s="373">
        <v>1</v>
      </c>
      <c r="Q11" s="373">
        <v>0</v>
      </c>
      <c r="R11" s="373">
        <v>6</v>
      </c>
      <c r="S11" s="186">
        <v>9803</v>
      </c>
      <c r="T11" s="204" t="s">
        <v>703</v>
      </c>
      <c r="U11" s="186" t="s">
        <v>247</v>
      </c>
      <c r="V11" s="186" t="s">
        <v>115</v>
      </c>
      <c r="W11" s="186" t="s">
        <v>111</v>
      </c>
      <c r="X11" s="190" t="s">
        <v>146</v>
      </c>
      <c r="Y11" s="186" t="s">
        <v>163</v>
      </c>
      <c r="Z11" s="186">
        <v>1</v>
      </c>
      <c r="AA11" s="626">
        <v>0</v>
      </c>
      <c r="AB11" s="626">
        <v>0</v>
      </c>
      <c r="AC11" s="649">
        <v>1</v>
      </c>
      <c r="AD11" s="626">
        <v>0</v>
      </c>
      <c r="AE11" s="626">
        <v>0</v>
      </c>
      <c r="AF11" s="626">
        <v>0</v>
      </c>
      <c r="AG11" s="649">
        <v>0</v>
      </c>
      <c r="AH11" s="626">
        <v>1</v>
      </c>
      <c r="AI11" s="626">
        <v>0</v>
      </c>
      <c r="AJ11" s="626">
        <v>0</v>
      </c>
      <c r="AK11" s="649">
        <v>1</v>
      </c>
      <c r="AL11" s="626">
        <v>0</v>
      </c>
      <c r="AM11" s="626">
        <v>0</v>
      </c>
      <c r="AN11" s="626">
        <v>0</v>
      </c>
      <c r="AO11" s="649">
        <v>0</v>
      </c>
    </row>
    <row r="12" spans="1:47" ht="14.95" customHeight="1" thickBot="1" x14ac:dyDescent="0.3">
      <c r="A12" s="201" t="s">
        <v>172</v>
      </c>
      <c r="B12" s="202" t="s">
        <v>231</v>
      </c>
      <c r="C12" s="202" t="s">
        <v>166</v>
      </c>
      <c r="D12" s="296" t="s">
        <v>241</v>
      </c>
      <c r="E12" s="134" t="s">
        <v>3</v>
      </c>
      <c r="F12" s="184">
        <v>25</v>
      </c>
      <c r="G12" s="184">
        <v>28</v>
      </c>
      <c r="H12" s="373">
        <v>1</v>
      </c>
      <c r="I12" s="373">
        <v>1</v>
      </c>
      <c r="J12" s="373">
        <v>5</v>
      </c>
      <c r="K12" s="373">
        <v>0</v>
      </c>
      <c r="L12" s="373">
        <v>0</v>
      </c>
      <c r="M12" s="373">
        <v>0</v>
      </c>
      <c r="N12" s="373">
        <v>0</v>
      </c>
      <c r="O12" s="373">
        <v>0</v>
      </c>
      <c r="P12" s="373">
        <v>1</v>
      </c>
      <c r="Q12" s="373">
        <v>0</v>
      </c>
      <c r="R12" s="373">
        <v>4</v>
      </c>
      <c r="S12" s="186">
        <v>14003</v>
      </c>
      <c r="T12" s="204" t="s">
        <v>778</v>
      </c>
      <c r="U12" s="186" t="s">
        <v>252</v>
      </c>
      <c r="V12" s="186" t="s">
        <v>139</v>
      </c>
      <c r="W12" s="186" t="s">
        <v>115</v>
      </c>
      <c r="X12" s="186" t="s">
        <v>272</v>
      </c>
      <c r="Y12" s="297" t="s">
        <v>163</v>
      </c>
      <c r="Z12" s="186">
        <v>1</v>
      </c>
      <c r="AA12" s="626">
        <v>0</v>
      </c>
      <c r="AB12" s="626">
        <v>0</v>
      </c>
      <c r="AC12" s="649">
        <v>1</v>
      </c>
      <c r="AD12" s="626">
        <v>0</v>
      </c>
      <c r="AE12" s="626">
        <v>0</v>
      </c>
      <c r="AF12" s="626">
        <v>0</v>
      </c>
      <c r="AG12" s="649">
        <v>0</v>
      </c>
      <c r="AH12" s="626">
        <v>0</v>
      </c>
      <c r="AI12" s="626">
        <v>0</v>
      </c>
      <c r="AJ12" s="626">
        <v>0</v>
      </c>
      <c r="AK12" s="649">
        <v>0</v>
      </c>
      <c r="AL12" s="626">
        <v>1</v>
      </c>
      <c r="AM12" s="626">
        <v>0</v>
      </c>
      <c r="AN12" s="626">
        <v>0</v>
      </c>
      <c r="AO12" s="649">
        <v>1</v>
      </c>
    </row>
    <row r="13" spans="1:47" ht="14.95" thickBot="1" x14ac:dyDescent="0.3">
      <c r="A13" s="104"/>
      <c r="B13" s="105"/>
      <c r="C13" s="765" t="s">
        <v>71</v>
      </c>
      <c r="D13" s="766"/>
      <c r="E13" s="767"/>
      <c r="F13" s="430">
        <f>SUM(F3:F7)</f>
        <v>71</v>
      </c>
      <c r="G13" s="430">
        <f t="shared" ref="G13:R13" si="0">SUM(G3:G7)</f>
        <v>217</v>
      </c>
      <c r="H13" s="430">
        <f t="shared" si="0"/>
        <v>0</v>
      </c>
      <c r="I13" s="430">
        <f t="shared" si="0"/>
        <v>1</v>
      </c>
      <c r="J13" s="430">
        <f t="shared" si="0"/>
        <v>11</v>
      </c>
      <c r="K13" s="430">
        <f t="shared" si="0"/>
        <v>8</v>
      </c>
      <c r="L13" s="430">
        <f t="shared" si="0"/>
        <v>0</v>
      </c>
      <c r="M13" s="430">
        <f t="shared" si="0"/>
        <v>0</v>
      </c>
      <c r="N13" s="430">
        <f t="shared" si="0"/>
        <v>3</v>
      </c>
      <c r="O13" s="430">
        <f t="shared" si="0"/>
        <v>1</v>
      </c>
      <c r="P13" s="430">
        <f t="shared" si="0"/>
        <v>4</v>
      </c>
      <c r="Q13" s="430">
        <f t="shared" si="0"/>
        <v>0</v>
      </c>
      <c r="R13" s="430">
        <f t="shared" si="0"/>
        <v>32</v>
      </c>
      <c r="S13" s="431"/>
      <c r="T13" s="431"/>
      <c r="U13" s="431"/>
      <c r="V13" s="431"/>
      <c r="W13" s="431"/>
      <c r="X13" s="426"/>
      <c r="Y13" s="427" t="s">
        <v>71</v>
      </c>
      <c r="Z13" s="430">
        <f t="shared" ref="Z13:AO13" si="1">SUM(Z3:Z7)</f>
        <v>5</v>
      </c>
      <c r="AA13" s="430">
        <f t="shared" si="1"/>
        <v>0</v>
      </c>
      <c r="AB13" s="430">
        <f t="shared" si="1"/>
        <v>0</v>
      </c>
      <c r="AC13" s="430">
        <f t="shared" si="1"/>
        <v>5</v>
      </c>
      <c r="AD13" s="432">
        <f t="shared" si="1"/>
        <v>2</v>
      </c>
      <c r="AE13" s="432">
        <f t="shared" si="1"/>
        <v>0</v>
      </c>
      <c r="AF13" s="432">
        <f t="shared" si="1"/>
        <v>0</v>
      </c>
      <c r="AG13" s="432">
        <f t="shared" si="1"/>
        <v>2</v>
      </c>
      <c r="AH13" s="433">
        <f t="shared" si="1"/>
        <v>3</v>
      </c>
      <c r="AI13" s="433">
        <f t="shared" si="1"/>
        <v>0</v>
      </c>
      <c r="AJ13" s="433">
        <f t="shared" si="1"/>
        <v>0</v>
      </c>
      <c r="AK13" s="433">
        <f t="shared" si="1"/>
        <v>3</v>
      </c>
      <c r="AL13" s="430">
        <f t="shared" si="1"/>
        <v>0</v>
      </c>
      <c r="AM13" s="430">
        <f t="shared" si="1"/>
        <v>0</v>
      </c>
      <c r="AN13" s="430">
        <f t="shared" si="1"/>
        <v>0</v>
      </c>
      <c r="AO13" s="430">
        <f t="shared" si="1"/>
        <v>0</v>
      </c>
    </row>
    <row r="14" spans="1:47" ht="14.95" thickBot="1" x14ac:dyDescent="0.3">
      <c r="A14" s="104"/>
      <c r="B14" s="105"/>
      <c r="C14" s="454" t="s">
        <v>237</v>
      </c>
      <c r="D14" s="455"/>
      <c r="E14" s="456"/>
      <c r="F14" s="457">
        <f>SUM(F10:F12)</f>
        <v>33</v>
      </c>
      <c r="G14" s="457">
        <f t="shared" ref="G14:R14" si="2">SUM(G10:G12)</f>
        <v>108</v>
      </c>
      <c r="H14" s="457">
        <f t="shared" si="2"/>
        <v>1</v>
      </c>
      <c r="I14" s="457">
        <f t="shared" si="2"/>
        <v>1</v>
      </c>
      <c r="J14" s="457">
        <f t="shared" si="2"/>
        <v>6</v>
      </c>
      <c r="K14" s="457">
        <f t="shared" si="2"/>
        <v>0</v>
      </c>
      <c r="L14" s="457">
        <f t="shared" si="2"/>
        <v>0</v>
      </c>
      <c r="M14" s="457">
        <f t="shared" si="2"/>
        <v>1</v>
      </c>
      <c r="N14" s="457">
        <f t="shared" si="2"/>
        <v>2</v>
      </c>
      <c r="O14" s="457">
        <f t="shared" si="2"/>
        <v>0</v>
      </c>
      <c r="P14" s="457">
        <f t="shared" si="2"/>
        <v>3</v>
      </c>
      <c r="Q14" s="457">
        <f t="shared" si="2"/>
        <v>0</v>
      </c>
      <c r="R14" s="457">
        <f t="shared" si="2"/>
        <v>16</v>
      </c>
      <c r="S14" s="463"/>
      <c r="T14" s="463"/>
      <c r="U14" s="463"/>
      <c r="V14" s="463"/>
      <c r="W14" s="463"/>
      <c r="X14" s="459"/>
      <c r="Y14" s="460" t="s">
        <v>237</v>
      </c>
      <c r="Z14" s="457">
        <f t="shared" ref="Z14:AO14" si="3">SUM(Z10:Z12)</f>
        <v>3</v>
      </c>
      <c r="AA14" s="457">
        <f t="shared" si="3"/>
        <v>0</v>
      </c>
      <c r="AB14" s="457">
        <f t="shared" si="3"/>
        <v>0</v>
      </c>
      <c r="AC14" s="457">
        <f t="shared" si="3"/>
        <v>3</v>
      </c>
      <c r="AD14" s="461">
        <f t="shared" si="3"/>
        <v>0</v>
      </c>
      <c r="AE14" s="461">
        <f t="shared" si="3"/>
        <v>0</v>
      </c>
      <c r="AF14" s="461">
        <f t="shared" si="3"/>
        <v>0</v>
      </c>
      <c r="AG14" s="461">
        <f t="shared" si="3"/>
        <v>0</v>
      </c>
      <c r="AH14" s="462">
        <f t="shared" si="3"/>
        <v>1</v>
      </c>
      <c r="AI14" s="462">
        <f t="shared" si="3"/>
        <v>0</v>
      </c>
      <c r="AJ14" s="462">
        <f t="shared" si="3"/>
        <v>0</v>
      </c>
      <c r="AK14" s="462">
        <f t="shared" si="3"/>
        <v>1</v>
      </c>
      <c r="AL14" s="457">
        <f t="shared" si="3"/>
        <v>2</v>
      </c>
      <c r="AM14" s="457">
        <f t="shared" si="3"/>
        <v>0</v>
      </c>
      <c r="AN14" s="457">
        <f t="shared" si="3"/>
        <v>0</v>
      </c>
      <c r="AO14" s="457">
        <f t="shared" si="3"/>
        <v>2</v>
      </c>
    </row>
    <row r="15" spans="1:47" ht="14.95" thickBot="1" x14ac:dyDescent="0.3">
      <c r="A15" s="104"/>
      <c r="B15" s="105"/>
      <c r="C15" s="728" t="s">
        <v>70</v>
      </c>
      <c r="D15" s="729"/>
      <c r="E15" s="730"/>
      <c r="F15" s="128">
        <f t="shared" ref="F15:R15" si="4">SUM(F3:F12)</f>
        <v>130</v>
      </c>
      <c r="G15" s="128">
        <f t="shared" si="4"/>
        <v>373</v>
      </c>
      <c r="H15" s="128">
        <f t="shared" si="4"/>
        <v>1</v>
      </c>
      <c r="I15" s="128">
        <f t="shared" si="4"/>
        <v>2</v>
      </c>
      <c r="J15" s="128">
        <f t="shared" si="4"/>
        <v>21</v>
      </c>
      <c r="K15" s="128">
        <f t="shared" si="4"/>
        <v>11</v>
      </c>
      <c r="L15" s="128">
        <f t="shared" si="4"/>
        <v>0</v>
      </c>
      <c r="M15" s="128">
        <f t="shared" si="4"/>
        <v>1</v>
      </c>
      <c r="N15" s="128">
        <f t="shared" si="4"/>
        <v>6</v>
      </c>
      <c r="O15" s="128">
        <f t="shared" si="4"/>
        <v>1</v>
      </c>
      <c r="P15" s="128">
        <f t="shared" si="4"/>
        <v>7</v>
      </c>
      <c r="Q15" s="128">
        <f t="shared" si="4"/>
        <v>0</v>
      </c>
      <c r="R15" s="128">
        <f t="shared" si="4"/>
        <v>56</v>
      </c>
      <c r="S15" s="125"/>
      <c r="T15" s="125"/>
      <c r="U15" s="125"/>
      <c r="V15" s="125"/>
      <c r="W15" s="125"/>
      <c r="X15" s="12"/>
      <c r="Y15" s="133" t="s">
        <v>70</v>
      </c>
      <c r="Z15" s="128">
        <f t="shared" ref="Z15:AO15" si="5">SUM(Z3:Z12)</f>
        <v>10</v>
      </c>
      <c r="AA15" s="128">
        <f t="shared" si="5"/>
        <v>1</v>
      </c>
      <c r="AB15" s="128">
        <f t="shared" si="5"/>
        <v>0</v>
      </c>
      <c r="AC15" s="128">
        <f t="shared" si="5"/>
        <v>9</v>
      </c>
      <c r="AD15" s="126">
        <f t="shared" si="5"/>
        <v>2</v>
      </c>
      <c r="AE15" s="126">
        <f t="shared" si="5"/>
        <v>0</v>
      </c>
      <c r="AF15" s="126">
        <f t="shared" si="5"/>
        <v>0</v>
      </c>
      <c r="AG15" s="126">
        <f t="shared" si="5"/>
        <v>2</v>
      </c>
      <c r="AH15" s="127">
        <f t="shared" si="5"/>
        <v>6</v>
      </c>
      <c r="AI15" s="127">
        <f t="shared" si="5"/>
        <v>1</v>
      </c>
      <c r="AJ15" s="127">
        <f t="shared" si="5"/>
        <v>0</v>
      </c>
      <c r="AK15" s="127">
        <f t="shared" si="5"/>
        <v>5</v>
      </c>
      <c r="AL15" s="128">
        <f t="shared" si="5"/>
        <v>2</v>
      </c>
      <c r="AM15" s="128">
        <f t="shared" si="5"/>
        <v>0</v>
      </c>
      <c r="AN15" s="128">
        <f t="shared" si="5"/>
        <v>0</v>
      </c>
      <c r="AO15" s="128">
        <f t="shared" si="5"/>
        <v>2</v>
      </c>
    </row>
    <row r="16" spans="1:47" x14ac:dyDescent="0.25">
      <c r="A16" s="893"/>
      <c r="B16" s="894"/>
      <c r="C16" s="894"/>
      <c r="D16" s="894"/>
      <c r="E16" s="894"/>
      <c r="F16" s="894"/>
      <c r="G16" s="894"/>
      <c r="H16" s="894"/>
      <c r="I16" s="894"/>
      <c r="J16" s="894"/>
      <c r="K16" s="894"/>
      <c r="L16" s="894"/>
      <c r="M16" s="894"/>
      <c r="N16" s="894"/>
      <c r="O16" s="894"/>
      <c r="P16" s="894"/>
      <c r="Q16" s="894"/>
      <c r="R16" s="894"/>
      <c r="S16" s="894"/>
      <c r="T16" s="894"/>
      <c r="U16" s="894"/>
      <c r="V16" s="894"/>
      <c r="W16" s="894"/>
      <c r="X16" s="894"/>
      <c r="Y16" s="894"/>
      <c r="Z16" s="894"/>
      <c r="AA16" s="894"/>
      <c r="AB16" s="894"/>
      <c r="AC16" s="894"/>
      <c r="AD16" s="894"/>
      <c r="AE16" s="894"/>
      <c r="AF16" s="894"/>
      <c r="AG16" s="894"/>
      <c r="AH16" s="894"/>
      <c r="AI16" s="894"/>
      <c r="AJ16" s="894"/>
      <c r="AK16" s="894"/>
      <c r="AL16" s="894"/>
      <c r="AM16" s="894"/>
      <c r="AN16" s="894"/>
      <c r="AO16" s="894"/>
    </row>
    <row r="17" spans="1:41" x14ac:dyDescent="0.25">
      <c r="A17" s="727" t="s">
        <v>244</v>
      </c>
      <c r="B17" s="687"/>
      <c r="C17" s="687"/>
      <c r="D17" s="687"/>
      <c r="E17" s="687"/>
      <c r="F17" s="687"/>
      <c r="G17" s="687"/>
      <c r="H17" s="687"/>
      <c r="I17" s="687"/>
      <c r="J17" s="687"/>
      <c r="K17" s="687"/>
      <c r="L17" s="687"/>
      <c r="M17" s="687"/>
      <c r="N17" s="687"/>
      <c r="O17" s="687"/>
      <c r="P17" s="687"/>
      <c r="Q17" s="687"/>
      <c r="R17" s="687"/>
      <c r="S17" s="687"/>
      <c r="T17" s="687"/>
      <c r="U17" s="687"/>
      <c r="V17" s="687"/>
      <c r="W17" s="687"/>
      <c r="X17" s="687"/>
      <c r="Y17" s="687"/>
      <c r="Z17" s="687"/>
      <c r="AA17" s="687"/>
      <c r="AB17" s="687"/>
      <c r="AC17" s="687"/>
      <c r="AD17" s="687"/>
      <c r="AE17" s="687"/>
      <c r="AF17" s="687"/>
      <c r="AG17" s="687"/>
      <c r="AH17" s="687"/>
      <c r="AI17" s="687"/>
      <c r="AJ17" s="687"/>
      <c r="AK17" s="687"/>
      <c r="AL17" s="687"/>
      <c r="AM17" s="687"/>
      <c r="AN17" s="687"/>
      <c r="AO17" s="687"/>
    </row>
    <row r="18" spans="1:41" x14ac:dyDescent="0.25">
      <c r="A18" s="335" t="s">
        <v>223</v>
      </c>
      <c r="F18" s="13"/>
      <c r="G18" s="13"/>
      <c r="H18" s="12"/>
      <c r="I18" s="13"/>
      <c r="J18" s="13"/>
      <c r="K18" s="13"/>
      <c r="L18" s="13"/>
      <c r="M18" s="13"/>
      <c r="N18" s="13"/>
      <c r="O18" s="13"/>
      <c r="P18" s="13"/>
      <c r="Q18" s="13"/>
      <c r="R18" s="13"/>
    </row>
    <row r="19" spans="1:41" x14ac:dyDescent="0.25">
      <c r="A19" t="s">
        <v>224</v>
      </c>
      <c r="F19" s="13"/>
    </row>
    <row r="20" spans="1:41" x14ac:dyDescent="0.25">
      <c r="A20" s="335" t="s">
        <v>228</v>
      </c>
    </row>
    <row r="21" spans="1:41" x14ac:dyDescent="0.25">
      <c r="A21" s="538" t="s">
        <v>566</v>
      </c>
    </row>
    <row r="22" spans="1:41" x14ac:dyDescent="0.25">
      <c r="A22" s="727" t="s">
        <v>244</v>
      </c>
      <c r="B22" s="687"/>
      <c r="C22" s="687"/>
      <c r="D22" s="687"/>
      <c r="E22" s="687"/>
      <c r="F22" s="687"/>
      <c r="G22" s="687"/>
      <c r="H22" s="687"/>
      <c r="I22" s="687"/>
      <c r="J22" s="687"/>
      <c r="K22" s="687"/>
      <c r="L22" s="687"/>
      <c r="M22" s="687"/>
      <c r="N22" s="687"/>
      <c r="O22" s="687"/>
      <c r="P22" s="687"/>
      <c r="Q22" s="687"/>
      <c r="R22" s="687"/>
      <c r="S22" s="687"/>
      <c r="T22" s="687"/>
      <c r="U22" s="687"/>
      <c r="V22" s="687"/>
      <c r="W22" s="687"/>
      <c r="X22" s="687"/>
      <c r="Y22" s="687"/>
      <c r="Z22" s="687"/>
      <c r="AA22" s="687"/>
      <c r="AB22" s="687"/>
      <c r="AC22" s="687"/>
      <c r="AD22" s="687"/>
      <c r="AE22" s="687"/>
      <c r="AF22" s="687"/>
      <c r="AG22" s="687"/>
      <c r="AH22" s="687"/>
      <c r="AI22" s="687"/>
      <c r="AJ22" s="687"/>
      <c r="AK22" s="687"/>
      <c r="AL22" s="687"/>
      <c r="AM22" s="687"/>
      <c r="AN22" s="687"/>
      <c r="AO22" s="687"/>
    </row>
    <row r="23" spans="1:41" x14ac:dyDescent="0.25">
      <c r="A23" s="323" t="s">
        <v>80</v>
      </c>
    </row>
    <row r="24" spans="1:41" x14ac:dyDescent="0.25">
      <c r="A24" s="313"/>
      <c r="B24" s="73" t="s">
        <v>40</v>
      </c>
      <c r="C24" s="73"/>
    </row>
    <row r="25" spans="1:41" x14ac:dyDescent="0.25">
      <c r="A25" s="314"/>
      <c r="B25" s="73" t="s">
        <v>38</v>
      </c>
      <c r="C25" s="73"/>
    </row>
    <row r="26" spans="1:41" x14ac:dyDescent="0.25">
      <c r="A26" s="315"/>
      <c r="B26" s="73" t="s">
        <v>39</v>
      </c>
      <c r="C26" s="73"/>
    </row>
    <row r="27" spans="1:41" ht="16.3" x14ac:dyDescent="0.3">
      <c r="A27" s="681" t="s">
        <v>28</v>
      </c>
    </row>
  </sheetData>
  <mergeCells count="15">
    <mergeCell ref="A22:AO22"/>
    <mergeCell ref="A17:AO17"/>
    <mergeCell ref="A16:AO16"/>
    <mergeCell ref="C15:E15"/>
    <mergeCell ref="Z1:AC1"/>
    <mergeCell ref="AD1:AG1"/>
    <mergeCell ref="AH1:AK1"/>
    <mergeCell ref="AL1:AO1"/>
    <mergeCell ref="C13:E13"/>
    <mergeCell ref="P1:R1"/>
    <mergeCell ref="A1:C1"/>
    <mergeCell ref="E1:G1"/>
    <mergeCell ref="H1:I1"/>
    <mergeCell ref="J1:M1"/>
    <mergeCell ref="N1:O1"/>
  </mergeCells>
  <pageMargins left="0.7" right="0.7" top="0.75" bottom="0.75" header="0.3" footer="0.3"/>
  <pageSetup paperSize="9" orientation="portrait" r:id="rId1"/>
  <ignoredErrors>
    <ignoredError sqref="C13:E13 F14:X14 Z14:AO14 S13:Y13 F13:R13 Z13:AO13" formulaRange="1"/>
    <ignoredError sqref="T4:T6 T9:T10" twoDigitTextYea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0"/>
  <sheetViews>
    <sheetView workbookViewId="0">
      <selection activeCell="R22" sqref="R22"/>
    </sheetView>
  </sheetViews>
  <sheetFormatPr defaultRowHeight="14.3" x14ac:dyDescent="0.25"/>
  <cols>
    <col min="1" max="1" width="10.75" bestFit="1" customWidth="1"/>
    <col min="2" max="2" width="7.875" bestFit="1" customWidth="1"/>
    <col min="3" max="5" width="3.75" customWidth="1"/>
    <col min="6" max="6" width="5" bestFit="1" customWidth="1"/>
    <col min="7" max="7" width="2.75" customWidth="1"/>
    <col min="8" max="11" width="3.75" customWidth="1"/>
    <col min="12" max="15" width="11.125" customWidth="1"/>
  </cols>
  <sheetData>
    <row r="1" spans="1:15" x14ac:dyDescent="0.25">
      <c r="B1" s="73" t="s">
        <v>86</v>
      </c>
      <c r="F1" s="689">
        <v>2025</v>
      </c>
      <c r="G1" s="690"/>
      <c r="H1" s="690"/>
    </row>
    <row r="2" spans="1:15" x14ac:dyDescent="0.25">
      <c r="A2" s="301" t="s">
        <v>191</v>
      </c>
      <c r="B2" s="301" t="s">
        <v>190</v>
      </c>
      <c r="C2" s="688" t="s">
        <v>35</v>
      </c>
      <c r="D2" s="691"/>
      <c r="E2" s="691"/>
      <c r="F2" s="205">
        <v>15</v>
      </c>
      <c r="G2" s="206" t="s">
        <v>85</v>
      </c>
      <c r="H2" s="208">
        <v>27</v>
      </c>
      <c r="I2" s="684" t="s">
        <v>33</v>
      </c>
      <c r="J2" s="685"/>
      <c r="K2" s="685"/>
      <c r="L2" s="688" t="s">
        <v>152</v>
      </c>
      <c r="M2" s="688"/>
      <c r="N2" s="688"/>
      <c r="O2" s="687"/>
    </row>
    <row r="3" spans="1:15" x14ac:dyDescent="0.25">
      <c r="A3" s="301" t="s">
        <v>191</v>
      </c>
      <c r="B3" s="301" t="s">
        <v>130</v>
      </c>
      <c r="C3" s="688" t="s">
        <v>34</v>
      </c>
      <c r="D3" s="691"/>
      <c r="E3" s="691"/>
      <c r="F3" s="205">
        <v>24</v>
      </c>
      <c r="G3" s="206" t="s">
        <v>85</v>
      </c>
      <c r="H3" s="208">
        <v>21</v>
      </c>
      <c r="I3" s="684" t="s">
        <v>31</v>
      </c>
      <c r="J3" s="685"/>
      <c r="K3" s="685"/>
      <c r="L3" s="688" t="s">
        <v>126</v>
      </c>
      <c r="M3" s="688"/>
      <c r="N3" s="688"/>
      <c r="O3" s="687"/>
    </row>
    <row r="4" spans="1:15" x14ac:dyDescent="0.25">
      <c r="A4" s="301" t="s">
        <v>113</v>
      </c>
      <c r="B4" s="301" t="s">
        <v>134</v>
      </c>
      <c r="C4" s="686" t="s">
        <v>30</v>
      </c>
      <c r="D4" s="686"/>
      <c r="E4" s="686"/>
      <c r="F4" s="205">
        <v>38</v>
      </c>
      <c r="G4" s="206" t="s">
        <v>85</v>
      </c>
      <c r="H4" s="208">
        <v>5</v>
      </c>
      <c r="I4" s="692" t="s">
        <v>32</v>
      </c>
      <c r="J4" s="692"/>
      <c r="K4" s="692"/>
      <c r="L4" s="686" t="s">
        <v>192</v>
      </c>
      <c r="M4" s="686"/>
      <c r="N4" s="686"/>
      <c r="O4" s="687"/>
    </row>
    <row r="5" spans="1:15" x14ac:dyDescent="0.25">
      <c r="A5" s="301" t="s">
        <v>193</v>
      </c>
      <c r="B5" s="301" t="s">
        <v>190</v>
      </c>
      <c r="C5" s="688" t="s">
        <v>33</v>
      </c>
      <c r="D5" s="691"/>
      <c r="E5" s="691"/>
      <c r="F5" s="205">
        <v>38</v>
      </c>
      <c r="G5" s="206" t="s">
        <v>85</v>
      </c>
      <c r="H5" s="208">
        <v>15</v>
      </c>
      <c r="I5" s="205" t="s">
        <v>34</v>
      </c>
      <c r="J5" s="205"/>
      <c r="K5" s="205"/>
      <c r="L5" s="686" t="s">
        <v>194</v>
      </c>
      <c r="M5" s="686"/>
      <c r="N5" s="686"/>
      <c r="O5" s="687"/>
    </row>
    <row r="6" spans="1:15" x14ac:dyDescent="0.25">
      <c r="A6" s="301" t="s">
        <v>193</v>
      </c>
      <c r="B6" s="301" t="s">
        <v>130</v>
      </c>
      <c r="C6" s="686" t="s">
        <v>31</v>
      </c>
      <c r="D6" s="686"/>
      <c r="E6" s="686"/>
      <c r="F6" s="205">
        <v>12</v>
      </c>
      <c r="G6" s="206" t="s">
        <v>85</v>
      </c>
      <c r="H6" s="208">
        <v>67</v>
      </c>
      <c r="I6" s="205" t="s">
        <v>30</v>
      </c>
      <c r="J6" s="205"/>
      <c r="K6" s="205"/>
      <c r="L6" s="686" t="s">
        <v>150</v>
      </c>
      <c r="M6" s="686"/>
      <c r="N6" s="686"/>
      <c r="O6" s="687"/>
    </row>
    <row r="7" spans="1:15" x14ac:dyDescent="0.25">
      <c r="A7" s="301" t="s">
        <v>129</v>
      </c>
      <c r="B7" s="301" t="s">
        <v>134</v>
      </c>
      <c r="C7" s="688" t="s">
        <v>32</v>
      </c>
      <c r="D7" s="691"/>
      <c r="E7" s="691"/>
      <c r="F7" s="205">
        <v>12</v>
      </c>
      <c r="G7" s="206" t="s">
        <v>85</v>
      </c>
      <c r="H7" s="208">
        <v>54</v>
      </c>
      <c r="I7" s="205" t="s">
        <v>35</v>
      </c>
      <c r="J7" s="205"/>
      <c r="K7" s="205"/>
      <c r="L7" s="686" t="s">
        <v>124</v>
      </c>
      <c r="M7" s="686"/>
      <c r="N7" s="686"/>
      <c r="O7" s="687"/>
    </row>
    <row r="8" spans="1:15" x14ac:dyDescent="0.25">
      <c r="A8" s="301" t="s">
        <v>195</v>
      </c>
      <c r="B8" s="301" t="s">
        <v>196</v>
      </c>
      <c r="C8" s="686" t="s">
        <v>33</v>
      </c>
      <c r="D8" s="686"/>
      <c r="E8" s="686"/>
      <c r="F8" s="205">
        <v>42</v>
      </c>
      <c r="G8" s="206" t="s">
        <v>85</v>
      </c>
      <c r="H8" s="208">
        <v>12</v>
      </c>
      <c r="I8" s="205" t="s">
        <v>31</v>
      </c>
      <c r="J8" s="205"/>
      <c r="K8" s="205"/>
      <c r="L8" s="686" t="s">
        <v>215</v>
      </c>
      <c r="M8" s="686"/>
      <c r="N8" s="686"/>
      <c r="O8" s="687"/>
    </row>
    <row r="9" spans="1:15" x14ac:dyDescent="0.25">
      <c r="A9" s="301" t="s">
        <v>195</v>
      </c>
      <c r="B9" s="301" t="s">
        <v>130</v>
      </c>
      <c r="C9" s="688" t="s">
        <v>35</v>
      </c>
      <c r="D9" s="691"/>
      <c r="E9" s="691"/>
      <c r="F9" s="205">
        <v>5</v>
      </c>
      <c r="G9" s="206" t="s">
        <v>85</v>
      </c>
      <c r="H9" s="208">
        <v>49</v>
      </c>
      <c r="I9" s="205" t="s">
        <v>30</v>
      </c>
      <c r="J9" s="205"/>
      <c r="K9" s="205"/>
      <c r="L9" s="686" t="s">
        <v>140</v>
      </c>
      <c r="M9" s="686"/>
      <c r="N9" s="686"/>
      <c r="O9" s="687"/>
    </row>
    <row r="10" spans="1:15" x14ac:dyDescent="0.25">
      <c r="A10" s="301" t="s">
        <v>138</v>
      </c>
      <c r="B10" s="301" t="s">
        <v>134</v>
      </c>
      <c r="C10" s="686" t="s">
        <v>34</v>
      </c>
      <c r="D10" s="686"/>
      <c r="E10" s="686"/>
      <c r="F10" s="205">
        <v>17</v>
      </c>
      <c r="G10" s="206" t="s">
        <v>85</v>
      </c>
      <c r="H10" s="208">
        <v>25</v>
      </c>
      <c r="I10" s="692" t="s">
        <v>32</v>
      </c>
      <c r="J10" s="692"/>
      <c r="K10" s="692"/>
      <c r="L10" s="688" t="s">
        <v>126</v>
      </c>
      <c r="M10" s="688"/>
      <c r="N10" s="688"/>
      <c r="O10" s="687"/>
    </row>
    <row r="11" spans="1:15" x14ac:dyDescent="0.25">
      <c r="A11" s="301" t="s">
        <v>197</v>
      </c>
      <c r="B11" s="301" t="s">
        <v>190</v>
      </c>
      <c r="C11" s="686" t="s">
        <v>32</v>
      </c>
      <c r="D11" s="686"/>
      <c r="E11" s="686"/>
      <c r="F11" s="205">
        <v>21</v>
      </c>
      <c r="G11" s="206" t="s">
        <v>85</v>
      </c>
      <c r="H11" s="208">
        <v>34</v>
      </c>
      <c r="I11" s="205" t="s">
        <v>33</v>
      </c>
      <c r="J11" s="205"/>
      <c r="K11" s="205"/>
      <c r="L11" s="686" t="s">
        <v>124</v>
      </c>
      <c r="M11" s="686"/>
      <c r="N11" s="686"/>
      <c r="O11" s="687"/>
    </row>
    <row r="12" spans="1:15" x14ac:dyDescent="0.25">
      <c r="A12" s="301" t="s">
        <v>197</v>
      </c>
      <c r="B12" s="301" t="s">
        <v>130</v>
      </c>
      <c r="C12" s="688" t="s">
        <v>30</v>
      </c>
      <c r="D12" s="691"/>
      <c r="E12" s="691"/>
      <c r="F12" s="205">
        <v>59</v>
      </c>
      <c r="G12" s="206" t="s">
        <v>85</v>
      </c>
      <c r="H12" s="208">
        <v>7</v>
      </c>
      <c r="I12" s="205" t="s">
        <v>34</v>
      </c>
      <c r="J12" s="205"/>
      <c r="K12" s="205"/>
      <c r="L12" s="686" t="s">
        <v>198</v>
      </c>
      <c r="M12" s="686"/>
      <c r="N12" s="686"/>
      <c r="O12" s="687"/>
    </row>
    <row r="13" spans="1:15" x14ac:dyDescent="0.25">
      <c r="A13" s="301" t="s">
        <v>143</v>
      </c>
      <c r="B13" s="301" t="s">
        <v>134</v>
      </c>
      <c r="C13" s="686" t="s">
        <v>31</v>
      </c>
      <c r="D13" s="686"/>
      <c r="E13" s="686"/>
      <c r="F13" s="205">
        <v>14</v>
      </c>
      <c r="G13" s="206" t="s">
        <v>85</v>
      </c>
      <c r="H13" s="208">
        <v>40</v>
      </c>
      <c r="I13" s="684" t="s">
        <v>35</v>
      </c>
      <c r="J13" s="687"/>
      <c r="K13" s="687"/>
      <c r="L13" s="688" t="s">
        <v>181</v>
      </c>
      <c r="M13" s="688"/>
      <c r="N13" s="688"/>
      <c r="O13" s="687"/>
    </row>
    <row r="14" spans="1:15" x14ac:dyDescent="0.25">
      <c r="A14" s="301" t="s">
        <v>199</v>
      </c>
      <c r="B14" s="301" t="s">
        <v>151</v>
      </c>
      <c r="C14" s="688" t="s">
        <v>34</v>
      </c>
      <c r="D14" s="691"/>
      <c r="E14" s="691"/>
      <c r="F14" s="205">
        <v>26</v>
      </c>
      <c r="G14" s="206" t="s">
        <v>85</v>
      </c>
      <c r="H14" s="208">
        <v>19</v>
      </c>
      <c r="I14" s="205" t="s">
        <v>35</v>
      </c>
      <c r="J14" s="205"/>
      <c r="K14" s="205"/>
      <c r="L14" s="686" t="s">
        <v>126</v>
      </c>
      <c r="M14" s="686"/>
      <c r="N14" s="686"/>
      <c r="O14" s="687"/>
    </row>
    <row r="15" spans="1:15" x14ac:dyDescent="0.25">
      <c r="A15" s="301" t="s">
        <v>199</v>
      </c>
      <c r="B15" s="301" t="s">
        <v>130</v>
      </c>
      <c r="C15" s="688" t="s">
        <v>30</v>
      </c>
      <c r="D15" s="691"/>
      <c r="E15" s="691"/>
      <c r="F15" s="205">
        <v>43</v>
      </c>
      <c r="G15" s="206" t="s">
        <v>85</v>
      </c>
      <c r="H15" s="208">
        <v>42</v>
      </c>
      <c r="I15" s="205" t="s">
        <v>33</v>
      </c>
      <c r="J15" s="205"/>
      <c r="K15" s="205"/>
      <c r="L15" s="686" t="s">
        <v>176</v>
      </c>
      <c r="M15" s="686"/>
      <c r="N15" s="686"/>
      <c r="O15" s="687"/>
    </row>
    <row r="16" spans="1:15" x14ac:dyDescent="0.25">
      <c r="A16" s="301" t="s">
        <v>300</v>
      </c>
      <c r="B16" s="301" t="s">
        <v>149</v>
      </c>
      <c r="C16" s="688" t="s">
        <v>32</v>
      </c>
      <c r="D16" s="691"/>
      <c r="E16" s="691"/>
      <c r="F16" s="205">
        <v>44</v>
      </c>
      <c r="G16" s="206" t="s">
        <v>85</v>
      </c>
      <c r="H16" s="208">
        <v>12</v>
      </c>
      <c r="I16" s="205" t="s">
        <v>31</v>
      </c>
      <c r="J16" s="205"/>
      <c r="K16" s="205"/>
      <c r="L16" s="686" t="s">
        <v>124</v>
      </c>
      <c r="M16" s="686"/>
      <c r="N16" s="686"/>
      <c r="O16" s="687"/>
    </row>
    <row r="18" spans="1:12" ht="16.3" x14ac:dyDescent="0.3">
      <c r="A18" s="681" t="s">
        <v>28</v>
      </c>
    </row>
    <row r="19" spans="1:12" x14ac:dyDescent="0.25">
      <c r="F19">
        <f>SUM(F2:F16)</f>
        <v>410</v>
      </c>
      <c r="H19">
        <f>SUM(H2:H16)</f>
        <v>429</v>
      </c>
    </row>
    <row r="20" spans="1:12" x14ac:dyDescent="0.25">
      <c r="L20">
        <f>SUM(F19+H19)</f>
        <v>839</v>
      </c>
    </row>
  </sheetData>
  <mergeCells count="36">
    <mergeCell ref="C14:E14"/>
    <mergeCell ref="L14:O14"/>
    <mergeCell ref="L15:O15"/>
    <mergeCell ref="C15:E15"/>
    <mergeCell ref="C16:E16"/>
    <mergeCell ref="L16:O16"/>
    <mergeCell ref="L5:O5"/>
    <mergeCell ref="C4:E4"/>
    <mergeCell ref="I4:K4"/>
    <mergeCell ref="C9:E9"/>
    <mergeCell ref="C10:E10"/>
    <mergeCell ref="I10:K10"/>
    <mergeCell ref="C8:E8"/>
    <mergeCell ref="C6:E6"/>
    <mergeCell ref="C2:E2"/>
    <mergeCell ref="C3:E3"/>
    <mergeCell ref="C11:E11"/>
    <mergeCell ref="C12:E12"/>
    <mergeCell ref="C5:E5"/>
    <mergeCell ref="C7:E7"/>
    <mergeCell ref="I3:K3"/>
    <mergeCell ref="C13:E13"/>
    <mergeCell ref="I13:K13"/>
    <mergeCell ref="L13:O13"/>
    <mergeCell ref="F1:H1"/>
    <mergeCell ref="L2:O2"/>
    <mergeCell ref="L3:O3"/>
    <mergeCell ref="L4:O4"/>
    <mergeCell ref="L6:O6"/>
    <mergeCell ref="L7:O7"/>
    <mergeCell ref="L8:O8"/>
    <mergeCell ref="L9:O9"/>
    <mergeCell ref="L10:O10"/>
    <mergeCell ref="L11:O11"/>
    <mergeCell ref="L12:O12"/>
    <mergeCell ref="I2:K2"/>
  </mergeCells>
  <pageMargins left="0.7" right="0.7" top="0.75" bottom="0.75" header="0.3" footer="0.3"/>
  <pageSetup paperSize="9" orientation="portrait" horizontalDpi="0" verticalDpi="0" r:id="rId1"/>
  <ignoredErrors>
    <ignoredError sqref="F19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33"/>
  <sheetViews>
    <sheetView workbookViewId="0">
      <selection activeCell="D22" sqref="D22"/>
    </sheetView>
  </sheetViews>
  <sheetFormatPr defaultRowHeight="14.3" x14ac:dyDescent="0.25"/>
  <cols>
    <col min="1" max="1" width="8.875" bestFit="1" customWidth="1"/>
    <col min="3" max="3" width="28.875" bestFit="1" customWidth="1"/>
    <col min="4" max="4" width="7.75" customWidth="1"/>
    <col min="5" max="5" width="10.25" bestFit="1" customWidth="1"/>
  </cols>
  <sheetData>
    <row r="1" spans="1:19" ht="14.95" thickBot="1" x14ac:dyDescent="0.3"/>
    <row r="2" spans="1:19" ht="14.95" customHeight="1" thickBot="1" x14ac:dyDescent="0.3">
      <c r="A2" s="48"/>
      <c r="B2" s="702" t="s">
        <v>49</v>
      </c>
      <c r="C2" s="703"/>
      <c r="D2" s="693" t="s">
        <v>50</v>
      </c>
      <c r="E2" s="694"/>
      <c r="F2" s="61" t="s">
        <v>51</v>
      </c>
      <c r="H2" s="697" t="s">
        <v>53</v>
      </c>
      <c r="I2" s="699" t="s">
        <v>61</v>
      </c>
      <c r="J2" s="700"/>
      <c r="K2" s="699" t="s">
        <v>62</v>
      </c>
      <c r="L2" s="701"/>
      <c r="M2" s="701"/>
      <c r="N2" s="701"/>
      <c r="O2" s="700"/>
      <c r="P2" s="80" t="s">
        <v>63</v>
      </c>
      <c r="Q2" s="699" t="s">
        <v>64</v>
      </c>
      <c r="R2" s="700"/>
    </row>
    <row r="3" spans="1:19" ht="14.95" customHeight="1" thickBot="1" x14ac:dyDescent="0.3">
      <c r="A3" s="101" t="s">
        <v>30</v>
      </c>
      <c r="B3" s="215">
        <f>eng6nyc</f>
        <v>0</v>
      </c>
      <c r="C3" s="212"/>
      <c r="D3" s="62">
        <f>eng6nrc</f>
        <v>0</v>
      </c>
      <c r="E3" s="63"/>
      <c r="F3" s="64">
        <f t="shared" ref="F3:F8" si="0">SUM(B3+D3*2)</f>
        <v>0</v>
      </c>
      <c r="H3" s="698"/>
      <c r="I3" s="81" t="s">
        <v>4</v>
      </c>
      <c r="J3" s="81" t="s">
        <v>5</v>
      </c>
      <c r="K3" s="82" t="s">
        <v>88</v>
      </c>
      <c r="L3" s="83" t="s">
        <v>89</v>
      </c>
      <c r="M3" s="83" t="s">
        <v>90</v>
      </c>
      <c r="N3" s="84" t="s">
        <v>91</v>
      </c>
      <c r="O3" s="85" t="s">
        <v>65</v>
      </c>
      <c r="P3" s="86" t="s">
        <v>66</v>
      </c>
      <c r="Q3" s="82" t="s">
        <v>4</v>
      </c>
      <c r="R3" s="85" t="s">
        <v>5</v>
      </c>
    </row>
    <row r="4" spans="1:19" ht="14.95" customHeight="1" thickBot="1" x14ac:dyDescent="0.3">
      <c r="A4" s="35" t="s">
        <v>33</v>
      </c>
      <c r="B4" s="65">
        <f>fra6nyc</f>
        <v>2</v>
      </c>
      <c r="C4" s="117" t="s">
        <v>322</v>
      </c>
      <c r="D4" s="62">
        <f>fra6nrc</f>
        <v>1</v>
      </c>
      <c r="E4" s="63" t="s">
        <v>249</v>
      </c>
      <c r="F4" s="64">
        <f t="shared" si="0"/>
        <v>4</v>
      </c>
      <c r="H4" s="97" t="s">
        <v>30</v>
      </c>
      <c r="I4" s="87">
        <v>0</v>
      </c>
      <c r="J4" s="87">
        <v>0</v>
      </c>
      <c r="K4" s="87">
        <v>0</v>
      </c>
      <c r="L4" s="87">
        <v>0</v>
      </c>
      <c r="M4" s="87">
        <v>0</v>
      </c>
      <c r="N4" s="87">
        <v>0</v>
      </c>
      <c r="O4" s="88">
        <f t="shared" ref="O4:O9" si="1">SUM(K4:N4)</f>
        <v>0</v>
      </c>
      <c r="P4" s="87">
        <v>0</v>
      </c>
      <c r="Q4" s="316" t="s">
        <v>100</v>
      </c>
      <c r="R4" s="317" t="s">
        <v>100</v>
      </c>
      <c r="S4" t="s">
        <v>250</v>
      </c>
    </row>
    <row r="5" spans="1:19" ht="14.95" customHeight="1" thickBot="1" x14ac:dyDescent="0.3">
      <c r="A5" s="22" t="s">
        <v>35</v>
      </c>
      <c r="B5" s="65">
        <f>ire6nyc</f>
        <v>3</v>
      </c>
      <c r="C5" s="343" t="s">
        <v>299</v>
      </c>
      <c r="D5" s="62">
        <f>ire6nrc</f>
        <v>0</v>
      </c>
      <c r="E5" s="63"/>
      <c r="F5" s="64">
        <f t="shared" si="0"/>
        <v>3</v>
      </c>
      <c r="H5" s="76" t="s">
        <v>33</v>
      </c>
      <c r="I5" s="87">
        <v>17</v>
      </c>
      <c r="J5" s="87">
        <v>24</v>
      </c>
      <c r="K5" s="87">
        <v>55</v>
      </c>
      <c r="L5" s="87">
        <v>0</v>
      </c>
      <c r="M5" s="87">
        <v>0</v>
      </c>
      <c r="N5" s="87">
        <v>0</v>
      </c>
      <c r="O5" s="88">
        <f t="shared" si="1"/>
        <v>55</v>
      </c>
      <c r="P5" s="87">
        <v>0</v>
      </c>
      <c r="Q5" s="316">
        <f t="shared" ref="Q5:Q9" si="2">SUM(I5/O5)*10</f>
        <v>3.0909090909090908</v>
      </c>
      <c r="R5" s="317">
        <f t="shared" ref="R5:R9" si="3">SUM(J5/O5)*10</f>
        <v>4.3636363636363633</v>
      </c>
      <c r="S5" t="s">
        <v>53</v>
      </c>
    </row>
    <row r="6" spans="1:19" ht="14.95" customHeight="1" thickBot="1" x14ac:dyDescent="0.3">
      <c r="A6" s="144" t="s">
        <v>32</v>
      </c>
      <c r="B6" s="65">
        <f>ita6nyc</f>
        <v>2</v>
      </c>
      <c r="C6" s="68" t="s">
        <v>278</v>
      </c>
      <c r="D6" s="62">
        <f>ita6nrc</f>
        <v>0</v>
      </c>
      <c r="E6" s="63"/>
      <c r="F6" s="64">
        <f t="shared" si="0"/>
        <v>2</v>
      </c>
      <c r="H6" s="21" t="s">
        <v>35</v>
      </c>
      <c r="I6" s="87">
        <v>17</v>
      </c>
      <c r="J6" s="87">
        <v>21</v>
      </c>
      <c r="K6" s="87">
        <v>30</v>
      </c>
      <c r="L6" s="87">
        <v>0</v>
      </c>
      <c r="M6" s="87">
        <v>0</v>
      </c>
      <c r="N6" s="87">
        <v>0</v>
      </c>
      <c r="O6" s="88">
        <f t="shared" si="1"/>
        <v>30</v>
      </c>
      <c r="P6" s="87">
        <v>0</v>
      </c>
      <c r="Q6" s="316">
        <f t="shared" ref="Q6" si="4">SUM(I6/O6)*10</f>
        <v>5.6666666666666661</v>
      </c>
      <c r="R6" s="317">
        <f t="shared" ref="R6" si="5">SUM(J6/O6)*10</f>
        <v>7</v>
      </c>
      <c r="S6" t="s">
        <v>53</v>
      </c>
    </row>
    <row r="7" spans="1:19" ht="14.95" customHeight="1" thickBot="1" x14ac:dyDescent="0.3">
      <c r="A7" s="35" t="s">
        <v>34</v>
      </c>
      <c r="B7" s="66">
        <f>sco6nyc</f>
        <v>4</v>
      </c>
      <c r="C7" s="67" t="s">
        <v>317</v>
      </c>
      <c r="D7" s="62">
        <f>sco6nrc</f>
        <v>1</v>
      </c>
      <c r="E7" s="63" t="s">
        <v>255</v>
      </c>
      <c r="F7" s="64">
        <f t="shared" si="0"/>
        <v>6</v>
      </c>
      <c r="H7" s="95" t="s">
        <v>32</v>
      </c>
      <c r="I7" s="87">
        <v>0</v>
      </c>
      <c r="J7" s="87">
        <v>19</v>
      </c>
      <c r="K7" s="87">
        <v>20</v>
      </c>
      <c r="L7" s="87">
        <v>0</v>
      </c>
      <c r="M7" s="87">
        <v>0</v>
      </c>
      <c r="N7" s="87">
        <v>0</v>
      </c>
      <c r="O7" s="88">
        <f t="shared" si="1"/>
        <v>20</v>
      </c>
      <c r="P7" s="87">
        <v>0</v>
      </c>
      <c r="Q7" s="316">
        <f t="shared" si="2"/>
        <v>0</v>
      </c>
      <c r="R7" s="317">
        <f t="shared" si="3"/>
        <v>9.5</v>
      </c>
    </row>
    <row r="8" spans="1:19" ht="14.95" customHeight="1" thickBot="1" x14ac:dyDescent="0.3">
      <c r="A8" s="9" t="s">
        <v>31</v>
      </c>
      <c r="B8" s="66">
        <f>wal6nyc</f>
        <v>3</v>
      </c>
      <c r="C8" s="67" t="s">
        <v>325</v>
      </c>
      <c r="D8" s="62">
        <f>wal6nrc</f>
        <v>1</v>
      </c>
      <c r="E8" s="63" t="s">
        <v>256</v>
      </c>
      <c r="F8" s="64">
        <f t="shared" si="0"/>
        <v>5</v>
      </c>
      <c r="H8" s="34" t="s">
        <v>34</v>
      </c>
      <c r="I8" s="87">
        <v>14</v>
      </c>
      <c r="J8" s="87">
        <v>43</v>
      </c>
      <c r="K8" s="87">
        <v>70</v>
      </c>
      <c r="L8" s="87">
        <v>0</v>
      </c>
      <c r="M8" s="87">
        <v>0</v>
      </c>
      <c r="N8" s="87">
        <v>0</v>
      </c>
      <c r="O8" s="88">
        <f t="shared" si="1"/>
        <v>70</v>
      </c>
      <c r="P8" s="87">
        <v>0</v>
      </c>
      <c r="Q8" s="316">
        <f t="shared" si="2"/>
        <v>2</v>
      </c>
      <c r="R8" s="317">
        <f t="shared" si="3"/>
        <v>6.1428571428571432</v>
      </c>
    </row>
    <row r="9" spans="1:19" ht="14.95" customHeight="1" thickBot="1" x14ac:dyDescent="0.3">
      <c r="A9" s="102" t="s">
        <v>52</v>
      </c>
      <c r="B9" s="65">
        <f>SUM(B3:B8)</f>
        <v>14</v>
      </c>
      <c r="C9" s="68"/>
      <c r="D9" s="69">
        <f>SUM(D3:D8)</f>
        <v>3</v>
      </c>
      <c r="E9" s="70"/>
      <c r="F9" s="61" t="s">
        <v>53</v>
      </c>
      <c r="H9" s="8" t="s">
        <v>31</v>
      </c>
      <c r="I9" s="87">
        <v>14</v>
      </c>
      <c r="J9" s="87">
        <v>33</v>
      </c>
      <c r="K9" s="87">
        <v>59</v>
      </c>
      <c r="L9" s="87">
        <v>0</v>
      </c>
      <c r="M9" s="87">
        <v>0</v>
      </c>
      <c r="N9" s="87">
        <v>0</v>
      </c>
      <c r="O9" s="88">
        <f t="shared" si="1"/>
        <v>59</v>
      </c>
      <c r="P9" s="87">
        <v>0</v>
      </c>
      <c r="Q9" s="316">
        <f t="shared" si="2"/>
        <v>2.3728813559322033</v>
      </c>
      <c r="R9" s="317">
        <f t="shared" si="3"/>
        <v>5.5932203389830502</v>
      </c>
      <c r="S9" t="s">
        <v>53</v>
      </c>
    </row>
    <row r="10" spans="1:19" ht="14.95" thickBot="1" x14ac:dyDescent="0.3">
      <c r="D10" s="71"/>
      <c r="E10" s="72"/>
      <c r="H10" s="94" t="s">
        <v>52</v>
      </c>
      <c r="I10" s="89">
        <f>SUM(I4:I9)</f>
        <v>62</v>
      </c>
      <c r="J10" s="89">
        <f>SUM(J4:J9)</f>
        <v>140</v>
      </c>
      <c r="K10" s="89">
        <f t="shared" ref="K10:P10" si="6">SUM(K4:K9)</f>
        <v>234</v>
      </c>
      <c r="L10" s="89">
        <f t="shared" si="6"/>
        <v>0</v>
      </c>
      <c r="M10" s="89">
        <f t="shared" si="6"/>
        <v>0</v>
      </c>
      <c r="N10" s="89">
        <f t="shared" si="6"/>
        <v>0</v>
      </c>
      <c r="O10" s="89">
        <f t="shared" si="6"/>
        <v>234</v>
      </c>
      <c r="P10" s="89">
        <f t="shared" si="6"/>
        <v>0</v>
      </c>
      <c r="Q10" s="92">
        <f t="shared" ref="Q10" si="7">SUM(I10/O10)*10</f>
        <v>2.6495726495726495</v>
      </c>
      <c r="R10" s="93">
        <f t="shared" ref="R10" si="8">SUM(J10/O10)*10</f>
        <v>5.982905982905983</v>
      </c>
    </row>
    <row r="11" spans="1:19" x14ac:dyDescent="0.25">
      <c r="A11" s="73" t="s">
        <v>54</v>
      </c>
      <c r="B11" s="73"/>
    </row>
    <row r="12" spans="1:19" x14ac:dyDescent="0.25">
      <c r="A12" s="695" t="s">
        <v>318</v>
      </c>
      <c r="B12" s="695"/>
      <c r="C12" s="696"/>
      <c r="D12" s="696"/>
      <c r="H12" s="73" t="s">
        <v>81</v>
      </c>
    </row>
    <row r="13" spans="1:19" ht="14.95" thickBot="1" x14ac:dyDescent="0.3">
      <c r="A13" s="135"/>
      <c r="B13" s="14"/>
      <c r="E13" t="s">
        <v>53</v>
      </c>
      <c r="I13" s="73"/>
    </row>
    <row r="14" spans="1:19" ht="14.95" thickBot="1" x14ac:dyDescent="0.3">
      <c r="A14" s="326" t="s">
        <v>120</v>
      </c>
      <c r="B14" s="327" t="s">
        <v>121</v>
      </c>
      <c r="C14" s="328"/>
      <c r="D14" s="327" t="s">
        <v>122</v>
      </c>
      <c r="H14" s="697" t="s">
        <v>53</v>
      </c>
      <c r="I14" s="699" t="s">
        <v>61</v>
      </c>
      <c r="J14" s="700"/>
      <c r="K14" s="699" t="s">
        <v>53</v>
      </c>
      <c r="L14" s="701"/>
      <c r="M14" s="701"/>
      <c r="N14" s="701"/>
      <c r="O14" s="700"/>
      <c r="P14" s="699" t="s">
        <v>64</v>
      </c>
      <c r="Q14" s="700"/>
    </row>
    <row r="15" spans="1:19" ht="14.95" thickBot="1" x14ac:dyDescent="0.3">
      <c r="A15" s="333" t="s">
        <v>123</v>
      </c>
      <c r="B15" s="183">
        <v>2</v>
      </c>
      <c r="C15" s="13"/>
      <c r="D15" s="13">
        <v>3</v>
      </c>
      <c r="H15" s="698"/>
      <c r="I15" s="81" t="s">
        <v>4</v>
      </c>
      <c r="J15" s="81" t="s">
        <v>5</v>
      </c>
      <c r="K15" s="82" t="s">
        <v>67</v>
      </c>
      <c r="L15" s="83" t="s">
        <v>68</v>
      </c>
      <c r="M15" s="83" t="s">
        <v>82</v>
      </c>
      <c r="N15" s="84"/>
      <c r="O15" s="85" t="s">
        <v>65</v>
      </c>
      <c r="P15" s="82" t="s">
        <v>4</v>
      </c>
      <c r="Q15" s="85" t="s">
        <v>5</v>
      </c>
    </row>
    <row r="16" spans="1:19" ht="14.95" thickBot="1" x14ac:dyDescent="0.3">
      <c r="A16" s="330" t="s">
        <v>135</v>
      </c>
      <c r="B16" s="183">
        <v>2</v>
      </c>
      <c r="C16" s="183"/>
      <c r="D16" s="183">
        <v>0</v>
      </c>
      <c r="H16" s="97" t="s">
        <v>30</v>
      </c>
      <c r="I16" s="87">
        <v>33</v>
      </c>
      <c r="J16" s="87">
        <v>7</v>
      </c>
      <c r="K16" s="87">
        <v>32</v>
      </c>
      <c r="L16" s="87">
        <v>0</v>
      </c>
      <c r="M16" s="87">
        <v>0</v>
      </c>
      <c r="N16" s="87">
        <v>0</v>
      </c>
      <c r="O16" s="88">
        <f t="shared" ref="O16:O21" si="9">SUM(K16:N16)</f>
        <v>32</v>
      </c>
      <c r="P16" s="316">
        <f t="shared" ref="P16" si="10">SUM(I16/O16)*10</f>
        <v>10.3125</v>
      </c>
      <c r="Q16" s="317">
        <f t="shared" ref="Q16" si="11">SUM(J16/O16)*10</f>
        <v>2.1875</v>
      </c>
      <c r="R16" t="s">
        <v>53</v>
      </c>
    </row>
    <row r="17" spans="1:18" ht="14.95" thickBot="1" x14ac:dyDescent="0.3">
      <c r="A17" s="330" t="s">
        <v>137</v>
      </c>
      <c r="B17" s="183">
        <v>3</v>
      </c>
      <c r="C17" s="183"/>
      <c r="D17" s="183">
        <v>0</v>
      </c>
      <c r="E17" s="13"/>
      <c r="H17" s="76" t="s">
        <v>33</v>
      </c>
      <c r="I17" s="87">
        <v>0</v>
      </c>
      <c r="J17" s="87">
        <v>0</v>
      </c>
      <c r="K17" s="87">
        <v>10</v>
      </c>
      <c r="L17" s="87">
        <v>0</v>
      </c>
      <c r="M17" s="87">
        <v>0</v>
      </c>
      <c r="N17" s="87">
        <v>0</v>
      </c>
      <c r="O17" s="88">
        <f t="shared" si="9"/>
        <v>10</v>
      </c>
      <c r="P17" s="316">
        <f t="shared" ref="P17" si="12">SUM(I17/O17)*10</f>
        <v>0</v>
      </c>
      <c r="Q17" s="317">
        <f t="shared" ref="Q17" si="13">SUM(J17/O17)*10</f>
        <v>0</v>
      </c>
      <c r="R17" t="s">
        <v>53</v>
      </c>
    </row>
    <row r="18" spans="1:18" ht="14.95" customHeight="1" thickBot="1" x14ac:dyDescent="0.3">
      <c r="A18" s="330" t="s">
        <v>142</v>
      </c>
      <c r="B18" s="57">
        <v>3</v>
      </c>
      <c r="C18" s="331"/>
      <c r="D18" s="57">
        <v>0</v>
      </c>
      <c r="E18" s="329"/>
      <c r="H18" s="21" t="s">
        <v>35</v>
      </c>
      <c r="I18" s="87">
        <v>36</v>
      </c>
      <c r="J18" s="87">
        <v>17</v>
      </c>
      <c r="K18" s="87">
        <v>65</v>
      </c>
      <c r="L18" s="87">
        <v>0</v>
      </c>
      <c r="M18" s="87">
        <v>0</v>
      </c>
      <c r="N18" s="87">
        <v>0</v>
      </c>
      <c r="O18" s="88">
        <f t="shared" si="9"/>
        <v>65</v>
      </c>
      <c r="P18" s="316">
        <f t="shared" ref="P18" si="14">SUM(I18/O18)*10</f>
        <v>5.5384615384615383</v>
      </c>
      <c r="Q18" s="317">
        <f t="shared" ref="Q18" si="15">SUM(J18/O18)*10</f>
        <v>2.6153846153846154</v>
      </c>
      <c r="R18" t="s">
        <v>53</v>
      </c>
    </row>
    <row r="19" spans="1:18" ht="14.95" customHeight="1" thickBot="1" x14ac:dyDescent="0.3">
      <c r="A19" s="330" t="s">
        <v>148</v>
      </c>
      <c r="B19" s="57"/>
      <c r="C19" s="331"/>
      <c r="D19" s="57"/>
      <c r="E19" s="329"/>
      <c r="H19" s="95" t="s">
        <v>32</v>
      </c>
      <c r="I19" s="87">
        <v>36</v>
      </c>
      <c r="J19" s="87">
        <v>5</v>
      </c>
      <c r="K19" s="87">
        <v>36</v>
      </c>
      <c r="L19" s="87">
        <v>0</v>
      </c>
      <c r="M19" s="87">
        <v>0</v>
      </c>
      <c r="N19" s="87">
        <v>0</v>
      </c>
      <c r="O19" s="88">
        <f t="shared" si="9"/>
        <v>36</v>
      </c>
      <c r="P19" s="316">
        <f t="shared" ref="P19" si="16">SUM(I19/O19)*10</f>
        <v>10</v>
      </c>
      <c r="Q19" s="317">
        <f t="shared" ref="Q19" si="17">SUM(J19/O19)*10</f>
        <v>1.3888888888888888</v>
      </c>
      <c r="R19" t="s">
        <v>53</v>
      </c>
    </row>
    <row r="20" spans="1:18" ht="14.95" thickBot="1" x14ac:dyDescent="0.3">
      <c r="H20" s="34" t="s">
        <v>34</v>
      </c>
      <c r="I20" s="87">
        <v>14</v>
      </c>
      <c r="J20" s="87">
        <v>0</v>
      </c>
      <c r="K20" s="87">
        <v>13</v>
      </c>
      <c r="L20" s="87">
        <v>0</v>
      </c>
      <c r="M20" s="87">
        <v>0</v>
      </c>
      <c r="N20" s="87">
        <v>0</v>
      </c>
      <c r="O20" s="88">
        <f t="shared" si="9"/>
        <v>13</v>
      </c>
      <c r="P20" s="316">
        <f t="shared" ref="P20" si="18">SUM(I20/O20)*10</f>
        <v>10.769230769230768</v>
      </c>
      <c r="Q20" s="317">
        <f t="shared" ref="Q20" si="19">SUM(J20/O20)*10</f>
        <v>0</v>
      </c>
      <c r="R20" t="s">
        <v>53</v>
      </c>
    </row>
    <row r="21" spans="1:18" ht="17" thickBot="1" x14ac:dyDescent="0.35">
      <c r="A21" s="681" t="s">
        <v>28</v>
      </c>
      <c r="H21" s="8" t="s">
        <v>31</v>
      </c>
      <c r="I21" s="87">
        <v>0</v>
      </c>
      <c r="J21" s="87">
        <v>17</v>
      </c>
      <c r="K21" s="87">
        <v>10</v>
      </c>
      <c r="L21" s="87">
        <v>0</v>
      </c>
      <c r="M21" s="87">
        <v>0</v>
      </c>
      <c r="N21" s="87">
        <v>0</v>
      </c>
      <c r="O21" s="88">
        <f t="shared" si="9"/>
        <v>10</v>
      </c>
      <c r="P21" s="316">
        <f t="shared" ref="P21" si="20">SUM(I21/O21)*10</f>
        <v>0</v>
      </c>
      <c r="Q21" s="317">
        <f t="shared" ref="Q21" si="21">SUM(J21/O21)*10</f>
        <v>17</v>
      </c>
    </row>
    <row r="22" spans="1:18" ht="14.95" thickBot="1" x14ac:dyDescent="0.3">
      <c r="H22" s="94" t="s">
        <v>52</v>
      </c>
      <c r="I22" s="89">
        <f t="shared" ref="I22:O22" si="22">SUM(I16:I21)</f>
        <v>119</v>
      </c>
      <c r="J22" s="90">
        <f t="shared" si="22"/>
        <v>46</v>
      </c>
      <c r="K22" s="89">
        <f t="shared" si="22"/>
        <v>166</v>
      </c>
      <c r="L22" s="91">
        <f t="shared" si="22"/>
        <v>0</v>
      </c>
      <c r="M22" s="91">
        <f t="shared" si="22"/>
        <v>0</v>
      </c>
      <c r="N22" s="91">
        <f t="shared" si="22"/>
        <v>0</v>
      </c>
      <c r="O22" s="90">
        <f t="shared" si="22"/>
        <v>166</v>
      </c>
      <c r="P22" s="92">
        <f t="shared" ref="P22" si="23">SUM(I22/O22)*10</f>
        <v>7.168674698795181</v>
      </c>
      <c r="Q22" s="93">
        <f t="shared" ref="Q22" si="24">SUM(J22/O22)*10</f>
        <v>2.7710843373493974</v>
      </c>
    </row>
    <row r="23" spans="1:18" x14ac:dyDescent="0.25">
      <c r="H23" t="s">
        <v>53</v>
      </c>
    </row>
    <row r="24" spans="1:18" x14ac:dyDescent="0.25">
      <c r="H24" s="73" t="s">
        <v>83</v>
      </c>
      <c r="I24" s="73"/>
      <c r="J24" s="73"/>
      <c r="K24" s="73"/>
    </row>
    <row r="25" spans="1:18" x14ac:dyDescent="0.25">
      <c r="H25" s="332" t="s">
        <v>290</v>
      </c>
      <c r="J25" s="73"/>
      <c r="K25" s="73"/>
    </row>
    <row r="26" spans="1:18" x14ac:dyDescent="0.25">
      <c r="H26" s="332" t="s">
        <v>326</v>
      </c>
      <c r="J26" s="73"/>
      <c r="K26" s="73"/>
    </row>
    <row r="27" spans="1:18" x14ac:dyDescent="0.25">
      <c r="H27" s="332" t="s">
        <v>291</v>
      </c>
      <c r="J27" s="73"/>
      <c r="K27" s="73"/>
    </row>
    <row r="28" spans="1:18" x14ac:dyDescent="0.25">
      <c r="H28" s="112"/>
      <c r="I28" s="73"/>
      <c r="J28" s="73"/>
      <c r="K28" s="73"/>
    </row>
    <row r="29" spans="1:18" x14ac:dyDescent="0.25">
      <c r="H29" s="73" t="s">
        <v>97</v>
      </c>
      <c r="J29" s="73"/>
      <c r="K29" s="73"/>
      <c r="L29" s="73"/>
    </row>
    <row r="30" spans="1:18" x14ac:dyDescent="0.25">
      <c r="H30" s="332" t="s">
        <v>251</v>
      </c>
      <c r="J30" s="73"/>
      <c r="K30" s="73"/>
      <c r="L30" s="73"/>
    </row>
    <row r="31" spans="1:18" x14ac:dyDescent="0.25">
      <c r="H31" s="332"/>
      <c r="J31" s="73"/>
      <c r="K31" s="73"/>
      <c r="L31" s="73"/>
    </row>
    <row r="32" spans="1:18" x14ac:dyDescent="0.25">
      <c r="H32" s="332"/>
    </row>
    <row r="33" spans="1:1" x14ac:dyDescent="0.25">
      <c r="A33" s="667"/>
    </row>
  </sheetData>
  <sortState xmlns:xlrd2="http://schemas.microsoft.com/office/spreadsheetml/2017/richdata2" ref="A3:F8">
    <sortCondition ref="F3:F8"/>
    <sortCondition ref="A3:A8"/>
  </sortState>
  <mergeCells count="11">
    <mergeCell ref="Q2:R2"/>
    <mergeCell ref="H14:H15"/>
    <mergeCell ref="I14:J14"/>
    <mergeCell ref="K14:O14"/>
    <mergeCell ref="P14:Q14"/>
    <mergeCell ref="D2:E2"/>
    <mergeCell ref="A12:D12"/>
    <mergeCell ref="H2:H3"/>
    <mergeCell ref="I2:J2"/>
    <mergeCell ref="K2:O2"/>
    <mergeCell ref="B2:C2"/>
  </mergeCells>
  <pageMargins left="0.7" right="0.7" top="0.75" bottom="0.75" header="0.3" footer="0.3"/>
  <pageSetup paperSize="9" orientation="portrait" horizontalDpi="360" verticalDpi="360" r:id="rId1"/>
  <ignoredErrors>
    <ignoredError sqref="O4:O9 O16:O21" formulaRange="1"/>
    <ignoredError sqref="P5:Q5 R5 P7:Q16 P6 R7:R9 P18:Q18 P20:Q20 P4" evalError="1"/>
    <ignoredError sqref="Q6:R6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9CCF7-58E5-43C9-81F8-72A70978C40C}">
  <dimension ref="A1:O8"/>
  <sheetViews>
    <sheetView workbookViewId="0">
      <selection activeCell="O17" sqref="O17"/>
    </sheetView>
  </sheetViews>
  <sheetFormatPr defaultRowHeight="14.3" x14ac:dyDescent="0.25"/>
  <cols>
    <col min="1" max="2" width="4.75" customWidth="1"/>
    <col min="3" max="3" width="9.5" customWidth="1"/>
    <col min="4" max="7" width="4.75" customWidth="1"/>
    <col min="8" max="10" width="6.75" customWidth="1"/>
    <col min="11" max="15" width="4.75" customWidth="1"/>
  </cols>
  <sheetData>
    <row r="1" spans="1:15" ht="14.95" customHeight="1" thickBot="1" x14ac:dyDescent="0.3">
      <c r="A1" s="98" t="s">
        <v>42</v>
      </c>
      <c r="B1" s="99" t="s">
        <v>43</v>
      </c>
      <c r="C1" s="49"/>
      <c r="D1" s="49" t="s">
        <v>0</v>
      </c>
      <c r="E1" s="50" t="s">
        <v>1</v>
      </c>
      <c r="F1" s="49" t="s">
        <v>2</v>
      </c>
      <c r="G1" s="49" t="s">
        <v>3</v>
      </c>
      <c r="H1" s="49" t="s">
        <v>4</v>
      </c>
      <c r="I1" s="49" t="s">
        <v>5</v>
      </c>
      <c r="J1" s="50" t="s">
        <v>44</v>
      </c>
      <c r="K1" s="49" t="s">
        <v>21</v>
      </c>
      <c r="L1" s="49" t="s">
        <v>22</v>
      </c>
      <c r="M1" s="49" t="s">
        <v>47</v>
      </c>
      <c r="N1" s="49" t="s">
        <v>48</v>
      </c>
      <c r="O1" s="50" t="s">
        <v>45</v>
      </c>
    </row>
    <row r="2" spans="1:15" ht="14.95" customHeight="1" thickBot="1" x14ac:dyDescent="0.3">
      <c r="A2" s="100">
        <v>1</v>
      </c>
      <c r="B2" s="153" t="s">
        <v>46</v>
      </c>
      <c r="C2" s="293" t="s">
        <v>72</v>
      </c>
      <c r="D2" s="54">
        <f>nzlp4played</f>
        <v>3</v>
      </c>
      <c r="E2" s="53">
        <f>nzlp4won</f>
        <v>2</v>
      </c>
      <c r="F2" s="54">
        <f>nzlp4drawn</f>
        <v>1</v>
      </c>
      <c r="G2" s="54">
        <f>nzlp4lost</f>
        <v>0</v>
      </c>
      <c r="H2" s="54">
        <f>nzlp4ptsscored</f>
        <v>144</v>
      </c>
      <c r="I2" s="54">
        <f>nzlp4ptsconc</f>
        <v>53</v>
      </c>
      <c r="J2" s="53">
        <f>SUM(H2-I2)</f>
        <v>91</v>
      </c>
      <c r="K2" s="54">
        <f>nzlp4tb</f>
        <v>3</v>
      </c>
      <c r="L2" s="54">
        <f>nzlp4lb</f>
        <v>0</v>
      </c>
      <c r="M2" s="54">
        <f>nzlp4triesscored</f>
        <v>23</v>
      </c>
      <c r="N2" s="54">
        <f>nzlp4triesconc</f>
        <v>9</v>
      </c>
      <c r="O2" s="53">
        <f>SUM(E2*4)+(F2*2)+K2+L2</f>
        <v>13</v>
      </c>
    </row>
    <row r="3" spans="1:15" ht="14.95" customHeight="1" thickBot="1" x14ac:dyDescent="0.3">
      <c r="A3" s="100">
        <v>2</v>
      </c>
      <c r="B3" s="153" t="s">
        <v>46</v>
      </c>
      <c r="C3" s="58" t="s">
        <v>36</v>
      </c>
      <c r="D3" s="54">
        <f>canp4played</f>
        <v>3</v>
      </c>
      <c r="E3" s="53">
        <f>canp4won</f>
        <v>2</v>
      </c>
      <c r="F3" s="54">
        <f>canp4drawn</f>
        <v>1</v>
      </c>
      <c r="G3" s="54">
        <f>canp4lost</f>
        <v>0</v>
      </c>
      <c r="H3" s="54">
        <f>canp4ptsscored</f>
        <v>98</v>
      </c>
      <c r="I3" s="54">
        <f>canp4ptsconc</f>
        <v>48</v>
      </c>
      <c r="J3" s="53">
        <f>SUM(H3-I3)</f>
        <v>50</v>
      </c>
      <c r="K3" s="54">
        <f>canp4tb</f>
        <v>3</v>
      </c>
      <c r="L3" s="54">
        <f>canp4lb</f>
        <v>0</v>
      </c>
      <c r="M3" s="54">
        <f>canp4triesscored</f>
        <v>16</v>
      </c>
      <c r="N3" s="54">
        <f>canp4triesconc</f>
        <v>7</v>
      </c>
      <c r="O3" s="53">
        <f>SUM(E3*4)+(F3*2)+K3+L3</f>
        <v>13</v>
      </c>
    </row>
    <row r="4" spans="1:15" ht="14.95" customHeight="1" thickBot="1" x14ac:dyDescent="0.3">
      <c r="A4" s="136">
        <v>3</v>
      </c>
      <c r="B4" s="118" t="s">
        <v>46</v>
      </c>
      <c r="C4" s="294" t="s">
        <v>29</v>
      </c>
      <c r="D4" s="51">
        <f>ausp4played</f>
        <v>3</v>
      </c>
      <c r="E4" s="52">
        <f>ausp4won</f>
        <v>1</v>
      </c>
      <c r="F4" s="51">
        <f>ausp4drawn</f>
        <v>0</v>
      </c>
      <c r="G4" s="51">
        <f>ausp4lost</f>
        <v>2</v>
      </c>
      <c r="H4" s="51">
        <f>ausp4ptsscored</f>
        <v>46</v>
      </c>
      <c r="I4" s="51">
        <f>ausp4ptsconc</f>
        <v>102</v>
      </c>
      <c r="J4" s="53">
        <f>SUM(H4-I4)</f>
        <v>-56</v>
      </c>
      <c r="K4" s="54">
        <f>ausp4tb</f>
        <v>1</v>
      </c>
      <c r="L4" s="54">
        <f>ausp4lb</f>
        <v>0</v>
      </c>
      <c r="M4" s="51">
        <f>ausp4triesscored</f>
        <v>7</v>
      </c>
      <c r="N4" s="51">
        <f>ausp4triesconc</f>
        <v>16</v>
      </c>
      <c r="O4" s="53">
        <f>SUM(E4*4)+(F4*2)+K4+L4</f>
        <v>5</v>
      </c>
    </row>
    <row r="5" spans="1:15" ht="14.95" customHeight="1" thickBot="1" x14ac:dyDescent="0.3">
      <c r="A5" s="100">
        <v>4</v>
      </c>
      <c r="B5" s="153" t="s">
        <v>46</v>
      </c>
      <c r="C5" s="216" t="s">
        <v>55</v>
      </c>
      <c r="D5" s="54">
        <f>usap4played</f>
        <v>3</v>
      </c>
      <c r="E5" s="53">
        <f>usap4won</f>
        <v>0</v>
      </c>
      <c r="F5" s="54">
        <f>usap4drawn</f>
        <v>0</v>
      </c>
      <c r="G5" s="54">
        <f>usap4lost</f>
        <v>3</v>
      </c>
      <c r="H5" s="54">
        <f>usap4ptsscored</f>
        <v>47</v>
      </c>
      <c r="I5" s="54">
        <f>usap4ptsconc</f>
        <v>132</v>
      </c>
      <c r="J5" s="53">
        <f>SUM(H5-I5)</f>
        <v>-85</v>
      </c>
      <c r="K5" s="54">
        <f>usap4tb</f>
        <v>0</v>
      </c>
      <c r="L5" s="54">
        <f>usap4lb</f>
        <v>0</v>
      </c>
      <c r="M5" s="54">
        <f>usap4triesscored</f>
        <v>7</v>
      </c>
      <c r="N5" s="54">
        <f>usap4triesconc</f>
        <v>21</v>
      </c>
      <c r="O5" s="53">
        <f>SUM(E5*4)+(F5*2)+K5+L5</f>
        <v>0</v>
      </c>
    </row>
    <row r="6" spans="1:15" x14ac:dyDescent="0.25">
      <c r="H6">
        <f>SUM(H2:H5)</f>
        <v>335</v>
      </c>
      <c r="I6">
        <f>SUM(I2:I5)</f>
        <v>335</v>
      </c>
      <c r="M6">
        <f t="shared" ref="M6:N6" si="0">SUM(M2:M5)</f>
        <v>53</v>
      </c>
      <c r="N6">
        <f t="shared" si="0"/>
        <v>53</v>
      </c>
    </row>
    <row r="8" spans="1:15" ht="16.3" x14ac:dyDescent="0.3">
      <c r="A8" s="681" t="s">
        <v>28</v>
      </c>
    </row>
  </sheetData>
  <sortState xmlns:xlrd2="http://schemas.microsoft.com/office/spreadsheetml/2017/richdata2" ref="A2:O5">
    <sortCondition descending="1" ref="O2:O5"/>
    <sortCondition descending="1" ref="J2:J5"/>
  </sortState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91CC9-6047-43D8-8141-0B8E1DA43F9E}">
  <dimension ref="A1:N9"/>
  <sheetViews>
    <sheetView workbookViewId="0">
      <selection activeCell="L18" sqref="L18"/>
    </sheetView>
  </sheetViews>
  <sheetFormatPr defaultRowHeight="14.3" x14ac:dyDescent="0.25"/>
  <cols>
    <col min="1" max="1" width="10.75" customWidth="1"/>
    <col min="2" max="4" width="4.5" customWidth="1"/>
    <col min="5" max="5" width="5" customWidth="1"/>
    <col min="6" max="6" width="2.75" customWidth="1"/>
    <col min="7" max="7" width="5" customWidth="1"/>
    <col min="8" max="10" width="4.5" customWidth="1"/>
    <col min="11" max="14" width="11.125" customWidth="1"/>
  </cols>
  <sheetData>
    <row r="1" spans="1:14" x14ac:dyDescent="0.25">
      <c r="E1" s="689">
        <v>2024</v>
      </c>
      <c r="F1" s="690"/>
      <c r="G1" s="690"/>
    </row>
    <row r="2" spans="1:14" x14ac:dyDescent="0.25">
      <c r="A2" s="301" t="s">
        <v>354</v>
      </c>
      <c r="B2" s="688" t="s">
        <v>55</v>
      </c>
      <c r="C2" s="691"/>
      <c r="D2" s="691"/>
      <c r="E2" s="205">
        <v>14</v>
      </c>
      <c r="F2" s="206" t="s">
        <v>85</v>
      </c>
      <c r="G2" s="208">
        <v>26</v>
      </c>
      <c r="H2" s="684" t="s">
        <v>36</v>
      </c>
      <c r="I2" s="685"/>
      <c r="J2" s="685"/>
      <c r="K2" s="688" t="s">
        <v>353</v>
      </c>
      <c r="L2" s="688"/>
      <c r="M2" s="688"/>
      <c r="N2" s="691"/>
    </row>
    <row r="3" spans="1:14" x14ac:dyDescent="0.25">
      <c r="A3" s="301" t="s">
        <v>383</v>
      </c>
      <c r="B3" s="686" t="s">
        <v>29</v>
      </c>
      <c r="C3" s="686"/>
      <c r="D3" s="686"/>
      <c r="E3" s="205">
        <v>12</v>
      </c>
      <c r="F3" s="206" t="s">
        <v>85</v>
      </c>
      <c r="G3" s="208">
        <v>38</v>
      </c>
      <c r="H3" s="684" t="s">
        <v>157</v>
      </c>
      <c r="I3" s="687"/>
      <c r="J3" s="687"/>
      <c r="K3" s="704" t="s">
        <v>367</v>
      </c>
      <c r="L3" s="704"/>
      <c r="M3" s="704"/>
      <c r="N3" s="705"/>
    </row>
    <row r="4" spans="1:14" x14ac:dyDescent="0.25">
      <c r="A4" s="301" t="s">
        <v>162</v>
      </c>
      <c r="B4" s="686" t="s">
        <v>157</v>
      </c>
      <c r="C4" s="686"/>
      <c r="D4" s="686"/>
      <c r="E4" s="205">
        <v>27</v>
      </c>
      <c r="F4" s="206" t="s">
        <v>85</v>
      </c>
      <c r="G4" s="208">
        <v>27</v>
      </c>
      <c r="H4" s="205" t="s">
        <v>36</v>
      </c>
      <c r="I4" s="205"/>
      <c r="J4" s="205"/>
      <c r="K4" s="704" t="s">
        <v>384</v>
      </c>
      <c r="L4" s="704"/>
      <c r="M4" s="704"/>
      <c r="N4" s="705"/>
    </row>
    <row r="5" spans="1:14" x14ac:dyDescent="0.25">
      <c r="A5" s="301" t="s">
        <v>162</v>
      </c>
      <c r="B5" s="688" t="s">
        <v>29</v>
      </c>
      <c r="C5" s="691"/>
      <c r="D5" s="691"/>
      <c r="E5" s="205">
        <v>27</v>
      </c>
      <c r="F5" s="206" t="s">
        <v>85</v>
      </c>
      <c r="G5" s="208">
        <v>19</v>
      </c>
      <c r="H5" s="684" t="s">
        <v>55</v>
      </c>
      <c r="I5" s="687"/>
      <c r="J5" s="687"/>
      <c r="K5" s="704" t="s">
        <v>390</v>
      </c>
      <c r="L5" s="704"/>
      <c r="M5" s="704"/>
      <c r="N5" s="705"/>
    </row>
    <row r="6" spans="1:14" x14ac:dyDescent="0.25">
      <c r="A6" s="301" t="s">
        <v>401</v>
      </c>
      <c r="B6" s="686" t="s">
        <v>29</v>
      </c>
      <c r="C6" s="686"/>
      <c r="D6" s="686"/>
      <c r="E6" s="205">
        <v>7</v>
      </c>
      <c r="F6" s="206" t="s">
        <v>85</v>
      </c>
      <c r="G6" s="208">
        <v>45</v>
      </c>
      <c r="H6" s="205" t="s">
        <v>36</v>
      </c>
      <c r="I6" s="205"/>
      <c r="J6" s="205"/>
      <c r="K6" s="704" t="s">
        <v>402</v>
      </c>
      <c r="L6" s="704"/>
      <c r="M6" s="704"/>
      <c r="N6" s="705"/>
    </row>
    <row r="7" spans="1:14" x14ac:dyDescent="0.25">
      <c r="A7" s="301" t="s">
        <v>164</v>
      </c>
      <c r="B7" s="688" t="s">
        <v>157</v>
      </c>
      <c r="C7" s="691"/>
      <c r="D7" s="691"/>
      <c r="E7" s="205">
        <v>79</v>
      </c>
      <c r="F7" s="206" t="s">
        <v>85</v>
      </c>
      <c r="G7" s="208">
        <v>14</v>
      </c>
      <c r="H7" s="205" t="s">
        <v>55</v>
      </c>
      <c r="I7" s="205"/>
      <c r="J7" s="205"/>
      <c r="K7" s="704" t="s">
        <v>408</v>
      </c>
      <c r="L7" s="704"/>
      <c r="M7" s="704"/>
      <c r="N7" s="705"/>
    </row>
    <row r="9" spans="1:14" x14ac:dyDescent="0.25">
      <c r="A9" s="667" t="s">
        <v>28</v>
      </c>
    </row>
  </sheetData>
  <mergeCells count="16">
    <mergeCell ref="B7:D7"/>
    <mergeCell ref="K7:N7"/>
    <mergeCell ref="B6:D6"/>
    <mergeCell ref="K6:N6"/>
    <mergeCell ref="E1:G1"/>
    <mergeCell ref="B2:D2"/>
    <mergeCell ref="H2:J2"/>
    <mergeCell ref="K2:N2"/>
    <mergeCell ref="B3:D3"/>
    <mergeCell ref="K3:N3"/>
    <mergeCell ref="B4:D4"/>
    <mergeCell ref="K4:N4"/>
    <mergeCell ref="B5:D5"/>
    <mergeCell ref="K5:N5"/>
    <mergeCell ref="H3:J3"/>
    <mergeCell ref="H5:J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37C25-46B5-4A68-AC64-7A39EE8587FD}">
  <dimension ref="A1:S31"/>
  <sheetViews>
    <sheetView workbookViewId="0">
      <selection activeCell="T1" sqref="T1"/>
    </sheetView>
  </sheetViews>
  <sheetFormatPr defaultRowHeight="14.3" x14ac:dyDescent="0.25"/>
  <cols>
    <col min="1" max="1" width="9.5" customWidth="1"/>
    <col min="3" max="3" width="25.125" bestFit="1" customWidth="1"/>
    <col min="8" max="8" width="9.5" customWidth="1"/>
  </cols>
  <sheetData>
    <row r="1" spans="1:19" ht="14.95" thickBot="1" x14ac:dyDescent="0.3"/>
    <row r="2" spans="1:19" ht="17" thickBot="1" x14ac:dyDescent="0.3">
      <c r="A2" s="48"/>
      <c r="B2" s="702" t="s">
        <v>49</v>
      </c>
      <c r="C2" s="703"/>
      <c r="D2" s="693" t="s">
        <v>50</v>
      </c>
      <c r="E2" s="694"/>
      <c r="F2" s="61" t="s">
        <v>51</v>
      </c>
      <c r="H2" s="697" t="s">
        <v>53</v>
      </c>
      <c r="I2" s="699" t="s">
        <v>61</v>
      </c>
      <c r="J2" s="700"/>
      <c r="K2" s="699" t="s">
        <v>62</v>
      </c>
      <c r="L2" s="701"/>
      <c r="M2" s="701"/>
      <c r="N2" s="701"/>
      <c r="O2" s="700"/>
      <c r="P2" s="80" t="s">
        <v>63</v>
      </c>
      <c r="Q2" s="699" t="s">
        <v>64</v>
      </c>
      <c r="R2" s="700"/>
    </row>
    <row r="3" spans="1:19" ht="14.95" customHeight="1" thickBot="1" x14ac:dyDescent="0.3">
      <c r="A3" s="294" t="s">
        <v>29</v>
      </c>
      <c r="B3" s="215">
        <f>ausp4yc</f>
        <v>0</v>
      </c>
      <c r="C3" s="212"/>
      <c r="D3" s="62">
        <f>ausp4rc</f>
        <v>0</v>
      </c>
      <c r="E3" s="63"/>
      <c r="F3" s="64">
        <f>SUM(B3+D3*2)</f>
        <v>0</v>
      </c>
      <c r="H3" s="698"/>
      <c r="I3" s="81" t="s">
        <v>4</v>
      </c>
      <c r="J3" s="81" t="s">
        <v>5</v>
      </c>
      <c r="K3" s="82" t="s">
        <v>88</v>
      </c>
      <c r="L3" s="83" t="s">
        <v>89</v>
      </c>
      <c r="M3" s="83" t="s">
        <v>90</v>
      </c>
      <c r="N3" s="84" t="s">
        <v>91</v>
      </c>
      <c r="O3" s="85" t="s">
        <v>65</v>
      </c>
      <c r="P3" s="86" t="s">
        <v>66</v>
      </c>
      <c r="Q3" s="82" t="s">
        <v>4</v>
      </c>
      <c r="R3" s="85" t="s">
        <v>5</v>
      </c>
    </row>
    <row r="4" spans="1:19" ht="14.95" customHeight="1" thickBot="1" x14ac:dyDescent="0.3">
      <c r="A4" s="216" t="s">
        <v>55</v>
      </c>
      <c r="B4" s="65">
        <f>usap4yc</f>
        <v>1</v>
      </c>
      <c r="C4" s="68" t="s">
        <v>350</v>
      </c>
      <c r="D4" s="62">
        <f>usap4rc</f>
        <v>1</v>
      </c>
      <c r="E4" s="63" t="s">
        <v>389</v>
      </c>
      <c r="F4" s="64">
        <f>SUM(B4+D4*2)</f>
        <v>3</v>
      </c>
      <c r="H4" s="217" t="s">
        <v>29</v>
      </c>
      <c r="I4" s="87">
        <v>0</v>
      </c>
      <c r="J4" s="87">
        <v>0</v>
      </c>
      <c r="K4" s="87">
        <v>0</v>
      </c>
      <c r="L4" s="87">
        <v>0</v>
      </c>
      <c r="M4" s="87">
        <v>0</v>
      </c>
      <c r="N4" s="87">
        <v>0</v>
      </c>
      <c r="O4" s="88">
        <f t="shared" ref="O4:O7" si="0">SUM(K4:N4)</f>
        <v>0</v>
      </c>
      <c r="P4" s="87">
        <v>0</v>
      </c>
      <c r="Q4" s="306" t="s">
        <v>100</v>
      </c>
      <c r="R4" s="307" t="s">
        <v>100</v>
      </c>
      <c r="S4" t="s">
        <v>118</v>
      </c>
    </row>
    <row r="5" spans="1:19" ht="14.95" customHeight="1" thickBot="1" x14ac:dyDescent="0.3">
      <c r="A5" s="293" t="s">
        <v>72</v>
      </c>
      <c r="B5" s="65">
        <f>nzlp4yc</f>
        <v>0</v>
      </c>
      <c r="C5" s="343"/>
      <c r="D5" s="62">
        <f>nzlp4rc</f>
        <v>0</v>
      </c>
      <c r="E5" s="63"/>
      <c r="F5" s="64">
        <f>SUM(B5+D5*2)</f>
        <v>0</v>
      </c>
      <c r="H5" s="8" t="s">
        <v>36</v>
      </c>
      <c r="I5" s="87">
        <v>0</v>
      </c>
      <c r="J5" s="87">
        <v>0</v>
      </c>
      <c r="K5" s="87">
        <v>10</v>
      </c>
      <c r="L5" s="87">
        <v>0</v>
      </c>
      <c r="M5" s="87">
        <v>0</v>
      </c>
      <c r="N5" s="87">
        <v>0</v>
      </c>
      <c r="O5" s="88">
        <f t="shared" si="0"/>
        <v>10</v>
      </c>
      <c r="P5" s="87">
        <v>0</v>
      </c>
      <c r="Q5" s="299">
        <f t="shared" ref="Q5:Q8" si="1">SUM(I5/O5)*10</f>
        <v>0</v>
      </c>
      <c r="R5" s="300">
        <f t="shared" ref="R5:R8" si="2">SUM(J5/O5)*10</f>
        <v>0</v>
      </c>
    </row>
    <row r="6" spans="1:19" ht="14.95" customHeight="1" thickBot="1" x14ac:dyDescent="0.3">
      <c r="A6" s="58" t="s">
        <v>36</v>
      </c>
      <c r="B6" s="65">
        <f>canp4yc</f>
        <v>1</v>
      </c>
      <c r="C6" s="117" t="s">
        <v>351</v>
      </c>
      <c r="D6" s="62">
        <f>canp4rc</f>
        <v>0</v>
      </c>
      <c r="E6" s="63"/>
      <c r="F6" s="64">
        <f>SUM(B6+D6*2)</f>
        <v>1</v>
      </c>
      <c r="H6" s="295" t="s">
        <v>72</v>
      </c>
      <c r="I6" s="87">
        <v>0</v>
      </c>
      <c r="J6" s="87">
        <v>0</v>
      </c>
      <c r="K6" s="87">
        <v>0</v>
      </c>
      <c r="L6" s="87">
        <v>0</v>
      </c>
      <c r="M6" s="87">
        <v>0</v>
      </c>
      <c r="N6" s="87">
        <v>0</v>
      </c>
      <c r="O6" s="88">
        <f t="shared" si="0"/>
        <v>0</v>
      </c>
      <c r="P6" s="87">
        <v>0</v>
      </c>
      <c r="Q6" s="316" t="e">
        <f t="shared" ref="Q6" si="3">SUM(I6/O6)*10</f>
        <v>#DIV/0!</v>
      </c>
      <c r="R6" s="317" t="e">
        <f t="shared" ref="R6" si="4">SUM(J6/O6)*10</f>
        <v>#DIV/0!</v>
      </c>
      <c r="S6" t="s">
        <v>118</v>
      </c>
    </row>
    <row r="7" spans="1:19" ht="14.95" customHeight="1" thickBot="1" x14ac:dyDescent="0.3">
      <c r="A7" s="102" t="s">
        <v>52</v>
      </c>
      <c r="B7" s="65">
        <f>SUM(B3:B6)</f>
        <v>2</v>
      </c>
      <c r="C7" s="68"/>
      <c r="D7" s="69">
        <f>SUM(D3:D6)</f>
        <v>1</v>
      </c>
      <c r="E7" s="70"/>
      <c r="F7" s="61" t="s">
        <v>53</v>
      </c>
      <c r="H7" s="34" t="s">
        <v>55</v>
      </c>
      <c r="I7" s="87">
        <v>0</v>
      </c>
      <c r="J7" s="87">
        <v>12</v>
      </c>
      <c r="K7" s="87">
        <v>11</v>
      </c>
      <c r="L7" s="87">
        <v>0</v>
      </c>
      <c r="M7" s="87">
        <v>0</v>
      </c>
      <c r="N7" s="87">
        <v>0</v>
      </c>
      <c r="O7" s="88">
        <f t="shared" si="0"/>
        <v>11</v>
      </c>
      <c r="P7" s="87">
        <v>0</v>
      </c>
      <c r="Q7" s="299">
        <f t="shared" si="1"/>
        <v>0</v>
      </c>
      <c r="R7" s="300">
        <f t="shared" si="2"/>
        <v>10.909090909090908</v>
      </c>
    </row>
    <row r="8" spans="1:19" ht="14.95" customHeight="1" thickBot="1" x14ac:dyDescent="0.3">
      <c r="D8" s="71"/>
      <c r="E8" s="72"/>
      <c r="H8" s="94" t="s">
        <v>52</v>
      </c>
      <c r="I8" s="89">
        <f t="shared" ref="I8:P8" si="5">SUM(I4:I7)</f>
        <v>0</v>
      </c>
      <c r="J8" s="89">
        <f t="shared" si="5"/>
        <v>12</v>
      </c>
      <c r="K8" s="89">
        <f t="shared" si="5"/>
        <v>21</v>
      </c>
      <c r="L8" s="89">
        <f t="shared" si="5"/>
        <v>0</v>
      </c>
      <c r="M8" s="89">
        <f t="shared" si="5"/>
        <v>0</v>
      </c>
      <c r="N8" s="89">
        <f t="shared" si="5"/>
        <v>0</v>
      </c>
      <c r="O8" s="89">
        <f t="shared" si="5"/>
        <v>21</v>
      </c>
      <c r="P8" s="89">
        <f t="shared" si="5"/>
        <v>0</v>
      </c>
      <c r="Q8" s="304">
        <f t="shared" si="1"/>
        <v>0</v>
      </c>
      <c r="R8" s="305">
        <f t="shared" si="2"/>
        <v>5.7142857142857135</v>
      </c>
    </row>
    <row r="9" spans="1:19" ht="14.95" customHeight="1" x14ac:dyDescent="0.25">
      <c r="A9" s="73" t="s">
        <v>54</v>
      </c>
      <c r="B9" s="73"/>
    </row>
    <row r="10" spans="1:19" ht="14.95" customHeight="1" x14ac:dyDescent="0.25">
      <c r="A10" s="695" t="s">
        <v>147</v>
      </c>
      <c r="B10" s="695"/>
      <c r="C10" s="696"/>
      <c r="D10" s="696"/>
      <c r="H10" s="73" t="s">
        <v>81</v>
      </c>
    </row>
    <row r="11" spans="1:19" ht="14.95" customHeight="1" thickBot="1" x14ac:dyDescent="0.3">
      <c r="A11" s="667" t="s">
        <v>28</v>
      </c>
      <c r="B11" s="14"/>
      <c r="E11" t="s">
        <v>53</v>
      </c>
      <c r="I11" s="73"/>
    </row>
    <row r="12" spans="1:19" ht="14.95" customHeight="1" thickBot="1" x14ac:dyDescent="0.3">
      <c r="H12" s="697" t="s">
        <v>53</v>
      </c>
      <c r="I12" s="699" t="s">
        <v>61</v>
      </c>
      <c r="J12" s="700"/>
      <c r="K12" s="699" t="s">
        <v>53</v>
      </c>
      <c r="L12" s="701"/>
      <c r="M12" s="701"/>
      <c r="N12" s="701"/>
      <c r="O12" s="700"/>
      <c r="P12" s="699" t="s">
        <v>64</v>
      </c>
      <c r="Q12" s="700"/>
    </row>
    <row r="13" spans="1:19" ht="14.95" customHeight="1" thickBot="1" x14ac:dyDescent="0.3">
      <c r="H13" s="698"/>
      <c r="I13" s="81" t="s">
        <v>4</v>
      </c>
      <c r="J13" s="81" t="s">
        <v>5</v>
      </c>
      <c r="K13" s="82" t="s">
        <v>67</v>
      </c>
      <c r="L13" s="83" t="s">
        <v>68</v>
      </c>
      <c r="M13" s="83" t="s">
        <v>96</v>
      </c>
      <c r="N13" s="84"/>
      <c r="O13" s="85" t="s">
        <v>65</v>
      </c>
      <c r="P13" s="82" t="s">
        <v>4</v>
      </c>
      <c r="Q13" s="85" t="s">
        <v>5</v>
      </c>
    </row>
    <row r="14" spans="1:19" ht="14.95" customHeight="1" thickBot="1" x14ac:dyDescent="0.3">
      <c r="H14" s="217" t="s">
        <v>29</v>
      </c>
      <c r="I14" s="87">
        <v>0</v>
      </c>
      <c r="J14" s="87">
        <v>0</v>
      </c>
      <c r="K14" s="87">
        <v>1</v>
      </c>
      <c r="L14" s="87">
        <v>0</v>
      </c>
      <c r="M14" s="87">
        <v>0</v>
      </c>
      <c r="N14" s="87">
        <v>0</v>
      </c>
      <c r="O14" s="88">
        <f t="shared" ref="O14:O17" si="6">SUM(K14:N14)</f>
        <v>1</v>
      </c>
      <c r="P14" s="316">
        <f t="shared" ref="P14" si="7">SUM(I14/O14)*10</f>
        <v>0</v>
      </c>
      <c r="Q14" s="317">
        <f t="shared" ref="Q14" si="8">SUM(J14/O14)*10</f>
        <v>0</v>
      </c>
      <c r="R14" t="s">
        <v>53</v>
      </c>
    </row>
    <row r="15" spans="1:19" ht="14.95" customHeight="1" thickBot="1" x14ac:dyDescent="0.3">
      <c r="H15" s="8" t="s">
        <v>36</v>
      </c>
      <c r="I15" s="87">
        <v>12</v>
      </c>
      <c r="J15" s="87">
        <v>0</v>
      </c>
      <c r="K15" s="87">
        <v>10</v>
      </c>
      <c r="L15" s="87">
        <v>0</v>
      </c>
      <c r="M15" s="87">
        <v>0</v>
      </c>
      <c r="N15" s="87">
        <v>0</v>
      </c>
      <c r="O15" s="88">
        <f t="shared" si="6"/>
        <v>10</v>
      </c>
      <c r="P15" s="299">
        <f t="shared" ref="P15:P18" si="9">SUM(I15/O15)*10</f>
        <v>12</v>
      </c>
      <c r="Q15" s="300">
        <f t="shared" ref="Q15:Q18" si="10">SUM(J15/O15)*10</f>
        <v>0</v>
      </c>
    </row>
    <row r="16" spans="1:19" ht="14.95" customHeight="1" thickBot="1" x14ac:dyDescent="0.3">
      <c r="H16" s="295" t="s">
        <v>72</v>
      </c>
      <c r="I16" s="87">
        <v>0</v>
      </c>
      <c r="J16" s="87">
        <v>0</v>
      </c>
      <c r="K16" s="87">
        <v>0</v>
      </c>
      <c r="L16" s="87">
        <v>0</v>
      </c>
      <c r="M16" s="87">
        <v>0</v>
      </c>
      <c r="N16" s="87">
        <v>0</v>
      </c>
      <c r="O16" s="88">
        <f t="shared" si="6"/>
        <v>0</v>
      </c>
      <c r="P16" s="316" t="e">
        <f t="shared" ref="P16" si="11">SUM(I16/O16)*10</f>
        <v>#DIV/0!</v>
      </c>
      <c r="Q16" s="317" t="e">
        <f t="shared" ref="Q16" si="12">SUM(J16/O16)*10</f>
        <v>#DIV/0!</v>
      </c>
      <c r="R16" t="s">
        <v>101</v>
      </c>
    </row>
    <row r="17" spans="1:18" ht="14.95" customHeight="1" thickBot="1" x14ac:dyDescent="0.3">
      <c r="H17" s="34" t="s">
        <v>55</v>
      </c>
      <c r="I17" s="87">
        <v>0</v>
      </c>
      <c r="J17" s="87">
        <v>0</v>
      </c>
      <c r="K17" s="87">
        <v>10</v>
      </c>
      <c r="L17" s="87">
        <v>0</v>
      </c>
      <c r="M17" s="87">
        <v>0</v>
      </c>
      <c r="N17" s="87">
        <v>0</v>
      </c>
      <c r="O17" s="88">
        <f t="shared" si="6"/>
        <v>10</v>
      </c>
      <c r="P17" s="306" t="s">
        <v>100</v>
      </c>
      <c r="Q17" s="307" t="s">
        <v>100</v>
      </c>
      <c r="R17" t="s">
        <v>53</v>
      </c>
    </row>
    <row r="18" spans="1:18" ht="14.95" thickBot="1" x14ac:dyDescent="0.3">
      <c r="H18" s="94" t="s">
        <v>52</v>
      </c>
      <c r="I18" s="89">
        <f t="shared" ref="I18:O18" si="13">SUM(I14:I17)</f>
        <v>12</v>
      </c>
      <c r="J18" s="90">
        <f t="shared" si="13"/>
        <v>0</v>
      </c>
      <c r="K18" s="89">
        <f t="shared" si="13"/>
        <v>21</v>
      </c>
      <c r="L18" s="91">
        <f t="shared" si="13"/>
        <v>0</v>
      </c>
      <c r="M18" s="91">
        <f t="shared" si="13"/>
        <v>0</v>
      </c>
      <c r="N18" s="91">
        <f t="shared" si="13"/>
        <v>0</v>
      </c>
      <c r="O18" s="90">
        <f t="shared" si="13"/>
        <v>21</v>
      </c>
      <c r="P18" s="304">
        <f t="shared" si="9"/>
        <v>5.7142857142857135</v>
      </c>
      <c r="Q18" s="305">
        <f t="shared" si="10"/>
        <v>0</v>
      </c>
    </row>
    <row r="19" spans="1:18" x14ac:dyDescent="0.25">
      <c r="H19" t="s">
        <v>53</v>
      </c>
    </row>
    <row r="20" spans="1:18" x14ac:dyDescent="0.25">
      <c r="H20" s="73" t="s">
        <v>83</v>
      </c>
      <c r="I20" s="73"/>
      <c r="J20" s="73"/>
      <c r="K20" s="73"/>
    </row>
    <row r="21" spans="1:18" x14ac:dyDescent="0.25">
      <c r="H21" t="s">
        <v>352</v>
      </c>
      <c r="I21" s="73"/>
      <c r="J21" s="73"/>
      <c r="K21" s="73"/>
    </row>
    <row r="22" spans="1:18" x14ac:dyDescent="0.25">
      <c r="H22" s="112"/>
      <c r="I22" s="73"/>
      <c r="J22" s="73"/>
      <c r="K22" s="73"/>
    </row>
    <row r="23" spans="1:18" x14ac:dyDescent="0.25">
      <c r="I23" s="73"/>
      <c r="J23" s="73"/>
      <c r="K23" s="73"/>
    </row>
    <row r="24" spans="1:18" x14ac:dyDescent="0.25">
      <c r="J24" s="73"/>
      <c r="K24" s="73"/>
      <c r="L24" s="73"/>
    </row>
    <row r="25" spans="1:18" x14ac:dyDescent="0.25">
      <c r="J25" s="73"/>
      <c r="K25" s="73"/>
      <c r="L25" s="73"/>
    </row>
    <row r="26" spans="1:18" x14ac:dyDescent="0.25">
      <c r="H26" s="73" t="s">
        <v>87</v>
      </c>
      <c r="J26" s="73"/>
      <c r="K26" s="73"/>
      <c r="L26" s="73"/>
    </row>
    <row r="27" spans="1:18" x14ac:dyDescent="0.25">
      <c r="J27" s="73"/>
      <c r="K27" s="73"/>
      <c r="L27" s="73"/>
    </row>
    <row r="30" spans="1:18" x14ac:dyDescent="0.25">
      <c r="H30" s="135" t="s">
        <v>28</v>
      </c>
    </row>
    <row r="31" spans="1:18" x14ac:dyDescent="0.25">
      <c r="A31" s="335" t="s">
        <v>53</v>
      </c>
    </row>
  </sheetData>
  <sortState xmlns:xlrd2="http://schemas.microsoft.com/office/spreadsheetml/2017/richdata2" ref="A3:F6">
    <sortCondition ref="F3:F6"/>
    <sortCondition ref="D3:D6"/>
  </sortState>
  <mergeCells count="11">
    <mergeCell ref="A10:D10"/>
    <mergeCell ref="H12:H13"/>
    <mergeCell ref="I12:J12"/>
    <mergeCell ref="K12:O12"/>
    <mergeCell ref="P12:Q12"/>
    <mergeCell ref="Q2:R2"/>
    <mergeCell ref="B2:C2"/>
    <mergeCell ref="D2:E2"/>
    <mergeCell ref="H2:H3"/>
    <mergeCell ref="I2:J2"/>
    <mergeCell ref="K2:O2"/>
  </mergeCells>
  <pageMargins left="0.7" right="0.7" top="0.75" bottom="0.75" header="0.3" footer="0.3"/>
  <ignoredErrors>
    <ignoredError sqref="O4:O7" formulaRange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A0BEC-F8F2-4744-93EB-33D6C1E2FB53}">
  <dimension ref="A1:N40"/>
  <sheetViews>
    <sheetView workbookViewId="0">
      <selection activeCell="O1" sqref="O1"/>
    </sheetView>
  </sheetViews>
  <sheetFormatPr defaultRowHeight="14.3" x14ac:dyDescent="0.25"/>
  <cols>
    <col min="2" max="2" width="12.625" customWidth="1"/>
    <col min="3" max="14" width="5.625" customWidth="1"/>
  </cols>
  <sheetData>
    <row r="1" spans="1:14" x14ac:dyDescent="0.25">
      <c r="A1" s="474" t="s">
        <v>418</v>
      </c>
    </row>
    <row r="2" spans="1:14" ht="14.95" thickBot="1" x14ac:dyDescent="0.3">
      <c r="A2" s="475" t="s">
        <v>53</v>
      </c>
    </row>
    <row r="3" spans="1:14" ht="14.95" thickBot="1" x14ac:dyDescent="0.3">
      <c r="A3" s="620" t="s">
        <v>419</v>
      </c>
      <c r="B3" s="49"/>
      <c r="C3" s="49" t="s">
        <v>0</v>
      </c>
      <c r="D3" s="50" t="s">
        <v>1</v>
      </c>
      <c r="E3" s="49" t="s">
        <v>2</v>
      </c>
      <c r="F3" s="49" t="s">
        <v>3</v>
      </c>
      <c r="G3" s="49" t="s">
        <v>4</v>
      </c>
      <c r="H3" s="49" t="s">
        <v>5</v>
      </c>
      <c r="I3" s="50" t="s">
        <v>44</v>
      </c>
      <c r="J3" s="49" t="s">
        <v>21</v>
      </c>
      <c r="K3" s="49" t="s">
        <v>22</v>
      </c>
      <c r="L3" s="49" t="s">
        <v>47</v>
      </c>
      <c r="M3" s="49" t="s">
        <v>48</v>
      </c>
      <c r="N3" s="50" t="s">
        <v>45</v>
      </c>
    </row>
    <row r="4" spans="1:14" ht="14.95" thickBot="1" x14ac:dyDescent="0.3">
      <c r="A4" s="136" t="s">
        <v>777</v>
      </c>
      <c r="B4" s="96" t="s">
        <v>30</v>
      </c>
      <c r="C4" s="54">
        <v>3</v>
      </c>
      <c r="D4" s="53">
        <v>3</v>
      </c>
      <c r="E4" s="54">
        <v>0</v>
      </c>
      <c r="F4" s="54">
        <v>0</v>
      </c>
      <c r="G4" s="54">
        <v>208</v>
      </c>
      <c r="H4" s="54">
        <v>17</v>
      </c>
      <c r="I4" s="53">
        <f>SUM(G4-H4)</f>
        <v>191</v>
      </c>
      <c r="J4" s="54">
        <v>3</v>
      </c>
      <c r="K4" s="54">
        <v>0</v>
      </c>
      <c r="L4" s="54">
        <v>32</v>
      </c>
      <c r="M4" s="54">
        <v>2</v>
      </c>
      <c r="N4" s="53">
        <f>SUM(D4*4)+(E4*2)+J4+K4</f>
        <v>15</v>
      </c>
    </row>
    <row r="5" spans="1:14" ht="14.95" thickBot="1" x14ac:dyDescent="0.3">
      <c r="A5" s="136" t="s">
        <v>754</v>
      </c>
      <c r="B5" s="294" t="s">
        <v>29</v>
      </c>
      <c r="C5" s="54">
        <v>3</v>
      </c>
      <c r="D5" s="53">
        <v>1</v>
      </c>
      <c r="E5" s="54">
        <v>1</v>
      </c>
      <c r="F5" s="54">
        <v>1</v>
      </c>
      <c r="G5" s="54">
        <v>111</v>
      </c>
      <c r="H5" s="54">
        <v>78</v>
      </c>
      <c r="I5" s="53">
        <f>SUM(G5-H5)</f>
        <v>33</v>
      </c>
      <c r="J5" s="54">
        <v>2</v>
      </c>
      <c r="K5" s="54">
        <v>0</v>
      </c>
      <c r="L5" s="54">
        <v>17</v>
      </c>
      <c r="M5" s="54">
        <v>12</v>
      </c>
      <c r="N5" s="53">
        <f>SUM(D5*4)+(E5*2)+J5+K5</f>
        <v>8</v>
      </c>
    </row>
    <row r="6" spans="1:14" ht="14.95" thickBot="1" x14ac:dyDescent="0.3">
      <c r="A6" s="100">
        <v>3</v>
      </c>
      <c r="B6" s="476" t="s">
        <v>55</v>
      </c>
      <c r="C6" s="54">
        <v>3</v>
      </c>
      <c r="D6" s="53">
        <v>1</v>
      </c>
      <c r="E6" s="54">
        <v>1</v>
      </c>
      <c r="F6" s="54">
        <v>1</v>
      </c>
      <c r="G6" s="54">
        <v>98</v>
      </c>
      <c r="H6" s="54">
        <v>100</v>
      </c>
      <c r="I6" s="53">
        <f>SUM(G6-H6)</f>
        <v>-2</v>
      </c>
      <c r="J6" s="54">
        <v>2</v>
      </c>
      <c r="K6" s="54">
        <v>0</v>
      </c>
      <c r="L6" s="54">
        <v>16</v>
      </c>
      <c r="M6" s="54">
        <v>16</v>
      </c>
      <c r="N6" s="53">
        <f>SUM(D6*4)+(E6*2)+J6+K6</f>
        <v>8</v>
      </c>
    </row>
    <row r="7" spans="1:14" ht="14.95" customHeight="1" thickBot="1" x14ac:dyDescent="0.3">
      <c r="A7" s="100">
        <v>4</v>
      </c>
      <c r="B7" s="318" t="s">
        <v>98</v>
      </c>
      <c r="C7" s="54">
        <v>3</v>
      </c>
      <c r="D7" s="53">
        <v>0</v>
      </c>
      <c r="E7" s="54">
        <v>0</v>
      </c>
      <c r="F7" s="54">
        <v>3</v>
      </c>
      <c r="G7" s="54">
        <v>3</v>
      </c>
      <c r="H7" s="54">
        <v>225</v>
      </c>
      <c r="I7" s="53">
        <f>SUM(G7-H7)</f>
        <v>-222</v>
      </c>
      <c r="J7" s="54">
        <v>0</v>
      </c>
      <c r="K7" s="54">
        <v>0</v>
      </c>
      <c r="L7" s="54">
        <v>0</v>
      </c>
      <c r="M7" s="54">
        <v>35</v>
      </c>
      <c r="N7" s="53">
        <f>SUM(D7*4)+(E7*2)+J7+K7</f>
        <v>0</v>
      </c>
    </row>
    <row r="8" spans="1:14" x14ac:dyDescent="0.25">
      <c r="G8">
        <f>SUM(G4:G7)</f>
        <v>420</v>
      </c>
      <c r="H8">
        <f>SUM(H4:H7)</f>
        <v>420</v>
      </c>
      <c r="L8">
        <f>SUM(L4:L7)</f>
        <v>65</v>
      </c>
      <c r="M8">
        <f>SUM(M4:M7)</f>
        <v>65</v>
      </c>
    </row>
    <row r="9" spans="1:14" ht="14.95" thickBot="1" x14ac:dyDescent="0.3"/>
    <row r="10" spans="1:14" ht="14.95" thickBot="1" x14ac:dyDescent="0.3">
      <c r="A10" s="620" t="s">
        <v>420</v>
      </c>
      <c r="B10" s="49"/>
      <c r="C10" s="49" t="s">
        <v>0</v>
      </c>
      <c r="D10" s="50" t="s">
        <v>1</v>
      </c>
      <c r="E10" s="49" t="s">
        <v>2</v>
      </c>
      <c r="F10" s="49" t="s">
        <v>3</v>
      </c>
      <c r="G10" s="49" t="s">
        <v>4</v>
      </c>
      <c r="H10" s="49" t="s">
        <v>5</v>
      </c>
      <c r="I10" s="50" t="s">
        <v>44</v>
      </c>
      <c r="J10" s="49" t="s">
        <v>21</v>
      </c>
      <c r="K10" s="49" t="s">
        <v>22</v>
      </c>
      <c r="L10" s="49" t="s">
        <v>47</v>
      </c>
      <c r="M10" s="49" t="s">
        <v>48</v>
      </c>
      <c r="N10" s="50" t="s">
        <v>45</v>
      </c>
    </row>
    <row r="11" spans="1:14" ht="14.95" thickBot="1" x14ac:dyDescent="0.3">
      <c r="A11" s="136" t="s">
        <v>777</v>
      </c>
      <c r="B11" s="478" t="s">
        <v>36</v>
      </c>
      <c r="C11" s="54">
        <v>3</v>
      </c>
      <c r="D11" s="53">
        <v>3</v>
      </c>
      <c r="E11" s="54">
        <v>0</v>
      </c>
      <c r="F11" s="54">
        <v>0</v>
      </c>
      <c r="G11" s="54">
        <v>147</v>
      </c>
      <c r="H11" s="54">
        <v>26</v>
      </c>
      <c r="I11" s="53">
        <f>SUM(G11-H11)</f>
        <v>121</v>
      </c>
      <c r="J11" s="54">
        <v>3</v>
      </c>
      <c r="K11" s="54">
        <v>0</v>
      </c>
      <c r="L11" s="54">
        <v>23</v>
      </c>
      <c r="M11" s="54">
        <v>4</v>
      </c>
      <c r="N11" s="53">
        <f>SUM(D11*4)+(E11*2)+J11+K11</f>
        <v>15</v>
      </c>
    </row>
    <row r="12" spans="1:14" ht="14.95" thickBot="1" x14ac:dyDescent="0.3">
      <c r="A12" s="136" t="s">
        <v>754</v>
      </c>
      <c r="B12" s="216" t="s">
        <v>34</v>
      </c>
      <c r="C12" s="54">
        <v>3</v>
      </c>
      <c r="D12" s="53">
        <v>2</v>
      </c>
      <c r="E12" s="54">
        <v>0</v>
      </c>
      <c r="F12" s="54">
        <v>1</v>
      </c>
      <c r="G12" s="54">
        <v>86</v>
      </c>
      <c r="H12" s="54">
        <v>63</v>
      </c>
      <c r="I12" s="53">
        <f>SUM(G12-H12)</f>
        <v>23</v>
      </c>
      <c r="J12" s="54">
        <v>2</v>
      </c>
      <c r="K12" s="54">
        <v>0</v>
      </c>
      <c r="L12" s="54">
        <v>14</v>
      </c>
      <c r="M12" s="54">
        <v>10</v>
      </c>
      <c r="N12" s="53">
        <f>SUM(D12*4)+(E12*2)+J12+K12</f>
        <v>10</v>
      </c>
    </row>
    <row r="13" spans="1:14" ht="14.95" thickBot="1" x14ac:dyDescent="0.3">
      <c r="A13" s="100">
        <v>3</v>
      </c>
      <c r="B13" s="360" t="s">
        <v>166</v>
      </c>
      <c r="C13" s="54">
        <v>3</v>
      </c>
      <c r="D13" s="53">
        <v>1</v>
      </c>
      <c r="E13" s="54">
        <v>0</v>
      </c>
      <c r="F13" s="54">
        <v>2</v>
      </c>
      <c r="G13" s="54">
        <v>50</v>
      </c>
      <c r="H13" s="54">
        <v>119</v>
      </c>
      <c r="I13" s="53">
        <f>SUM(G13-H13)</f>
        <v>-69</v>
      </c>
      <c r="J13" s="54">
        <v>1</v>
      </c>
      <c r="K13" s="54">
        <v>0</v>
      </c>
      <c r="L13" s="54">
        <v>8</v>
      </c>
      <c r="M13" s="54">
        <v>21</v>
      </c>
      <c r="N13" s="53">
        <f>SUM(D13*4)+(E13*2)+J13+K13</f>
        <v>5</v>
      </c>
    </row>
    <row r="14" spans="1:14" ht="14.95" thickBot="1" x14ac:dyDescent="0.3">
      <c r="A14" s="100">
        <v>4</v>
      </c>
      <c r="B14" s="477" t="s">
        <v>31</v>
      </c>
      <c r="C14" s="54">
        <v>3</v>
      </c>
      <c r="D14" s="53">
        <v>0</v>
      </c>
      <c r="E14" s="54">
        <v>0</v>
      </c>
      <c r="F14" s="54">
        <v>3</v>
      </c>
      <c r="G14" s="54">
        <v>33</v>
      </c>
      <c r="H14" s="54">
        <v>108</v>
      </c>
      <c r="I14" s="53">
        <f>SUM(G14-H14)</f>
        <v>-75</v>
      </c>
      <c r="J14" s="54">
        <v>1</v>
      </c>
      <c r="K14" s="54">
        <v>1</v>
      </c>
      <c r="L14" s="54">
        <v>6</v>
      </c>
      <c r="M14" s="54">
        <v>16</v>
      </c>
      <c r="N14" s="53">
        <f>SUM(D14*4)+(E14*2)+J14+K14</f>
        <v>2</v>
      </c>
    </row>
    <row r="15" spans="1:14" x14ac:dyDescent="0.25">
      <c r="G15">
        <f>SUM(G11:G14)</f>
        <v>316</v>
      </c>
      <c r="H15">
        <f>SUM(H11:H14)</f>
        <v>316</v>
      </c>
      <c r="L15">
        <f>SUM(L11:L14)</f>
        <v>51</v>
      </c>
      <c r="M15">
        <f>SUM(M11:M14)</f>
        <v>51</v>
      </c>
    </row>
    <row r="16" spans="1:14" ht="14.95" thickBot="1" x14ac:dyDescent="0.3"/>
    <row r="17" spans="1:14" ht="14.95" thickBot="1" x14ac:dyDescent="0.3">
      <c r="A17" s="620" t="s">
        <v>421</v>
      </c>
      <c r="B17" s="49"/>
      <c r="C17" s="49" t="s">
        <v>0</v>
      </c>
      <c r="D17" s="50" t="s">
        <v>1</v>
      </c>
      <c r="E17" s="49" t="s">
        <v>2</v>
      </c>
      <c r="F17" s="49" t="s">
        <v>3</v>
      </c>
      <c r="G17" s="49" t="s">
        <v>4</v>
      </c>
      <c r="H17" s="49" t="s">
        <v>5</v>
      </c>
      <c r="I17" s="50" t="s">
        <v>44</v>
      </c>
      <c r="J17" s="49" t="s">
        <v>21</v>
      </c>
      <c r="K17" s="49" t="s">
        <v>22</v>
      </c>
      <c r="L17" s="49" t="s">
        <v>47</v>
      </c>
      <c r="M17" s="49" t="s">
        <v>48</v>
      </c>
      <c r="N17" s="50" t="s">
        <v>45</v>
      </c>
    </row>
    <row r="18" spans="1:14" ht="14.95" customHeight="1" thickBot="1" x14ac:dyDescent="0.3">
      <c r="A18" s="136" t="s">
        <v>777</v>
      </c>
      <c r="B18" s="321" t="s">
        <v>157</v>
      </c>
      <c r="C18" s="54">
        <v>3</v>
      </c>
      <c r="D18" s="53">
        <v>3</v>
      </c>
      <c r="E18" s="54">
        <v>0</v>
      </c>
      <c r="F18" s="54">
        <v>0</v>
      </c>
      <c r="G18" s="54">
        <v>156</v>
      </c>
      <c r="H18" s="54">
        <v>27</v>
      </c>
      <c r="I18" s="53">
        <f>SUM(G18-H18)</f>
        <v>129</v>
      </c>
      <c r="J18" s="54">
        <v>3</v>
      </c>
      <c r="K18" s="54">
        <v>0</v>
      </c>
      <c r="L18" s="54">
        <v>24</v>
      </c>
      <c r="M18" s="54">
        <v>4</v>
      </c>
      <c r="N18" s="53">
        <f>SUM(D18*4)+(E18*2)+J18+K18</f>
        <v>15</v>
      </c>
    </row>
    <row r="19" spans="1:14" ht="14.95" thickBot="1" x14ac:dyDescent="0.3">
      <c r="A19" s="136" t="s">
        <v>754</v>
      </c>
      <c r="B19" s="59" t="s">
        <v>35</v>
      </c>
      <c r="C19" s="54">
        <v>3</v>
      </c>
      <c r="D19" s="53">
        <v>2</v>
      </c>
      <c r="E19" s="54">
        <v>0</v>
      </c>
      <c r="F19" s="54">
        <v>1</v>
      </c>
      <c r="G19" s="54">
        <v>85</v>
      </c>
      <c r="H19" s="54">
        <v>81</v>
      </c>
      <c r="I19" s="53">
        <f>SUM(G19-H19)</f>
        <v>4</v>
      </c>
      <c r="J19" s="54">
        <v>2</v>
      </c>
      <c r="K19" s="54">
        <v>0</v>
      </c>
      <c r="L19" s="54">
        <v>13</v>
      </c>
      <c r="M19" s="54">
        <v>13</v>
      </c>
      <c r="N19" s="53">
        <f>SUM(D19*4)+(E19*2)+J19+K19</f>
        <v>10</v>
      </c>
    </row>
    <row r="20" spans="1:14" ht="14.95" customHeight="1" thickBot="1" x14ac:dyDescent="0.3">
      <c r="A20" s="100">
        <v>3</v>
      </c>
      <c r="B20" s="479" t="s">
        <v>99</v>
      </c>
      <c r="C20" s="54">
        <v>3</v>
      </c>
      <c r="D20" s="53">
        <v>1</v>
      </c>
      <c r="E20" s="54">
        <v>0</v>
      </c>
      <c r="F20" s="54">
        <v>2</v>
      </c>
      <c r="G20" s="54">
        <v>62</v>
      </c>
      <c r="H20" s="54">
        <v>125</v>
      </c>
      <c r="I20" s="53">
        <f>SUM(G20-H20)</f>
        <v>-63</v>
      </c>
      <c r="J20" s="54">
        <v>1</v>
      </c>
      <c r="K20" s="54">
        <v>0</v>
      </c>
      <c r="L20" s="54">
        <v>10</v>
      </c>
      <c r="M20" s="54">
        <v>19</v>
      </c>
      <c r="N20" s="53">
        <f>SUM(D20*4)+(E20*2)+J20+K20</f>
        <v>5</v>
      </c>
    </row>
    <row r="21" spans="1:14" ht="14.95" thickBot="1" x14ac:dyDescent="0.3">
      <c r="A21" s="100">
        <v>4</v>
      </c>
      <c r="B21" s="480" t="s">
        <v>133</v>
      </c>
      <c r="C21" s="54">
        <v>3</v>
      </c>
      <c r="D21" s="53">
        <v>0</v>
      </c>
      <c r="E21" s="54">
        <v>0</v>
      </c>
      <c r="F21" s="54">
        <v>3</v>
      </c>
      <c r="G21" s="54">
        <v>56</v>
      </c>
      <c r="H21" s="54">
        <v>126</v>
      </c>
      <c r="I21" s="53">
        <f>SUM(G21-H21)</f>
        <v>-70</v>
      </c>
      <c r="J21" s="54">
        <v>1</v>
      </c>
      <c r="K21" s="54">
        <v>0</v>
      </c>
      <c r="L21" s="54">
        <v>9</v>
      </c>
      <c r="M21" s="54">
        <v>20</v>
      </c>
      <c r="N21" s="53">
        <f>SUM(D21*4)+(E21*2)+J21+K21</f>
        <v>1</v>
      </c>
    </row>
    <row r="22" spans="1:14" x14ac:dyDescent="0.25">
      <c r="G22">
        <f>SUM(G18:G21)</f>
        <v>359</v>
      </c>
      <c r="H22">
        <f>SUM(H18:H21)</f>
        <v>359</v>
      </c>
      <c r="L22">
        <f>SUM(L18:L21)</f>
        <v>56</v>
      </c>
      <c r="M22">
        <f>SUM(M18:M21)</f>
        <v>56</v>
      </c>
    </row>
    <row r="23" spans="1:14" ht="14.95" thickBot="1" x14ac:dyDescent="0.3"/>
    <row r="24" spans="1:14" ht="14.95" thickBot="1" x14ac:dyDescent="0.3">
      <c r="A24" s="620" t="s">
        <v>422</v>
      </c>
      <c r="B24" s="49"/>
      <c r="C24" s="49" t="s">
        <v>0</v>
      </c>
      <c r="D24" s="50" t="s">
        <v>1</v>
      </c>
      <c r="E24" s="49" t="s">
        <v>2</v>
      </c>
      <c r="F24" s="49" t="s">
        <v>3</v>
      </c>
      <c r="G24" s="49" t="s">
        <v>4</v>
      </c>
      <c r="H24" s="49" t="s">
        <v>5</v>
      </c>
      <c r="I24" s="50" t="s">
        <v>44</v>
      </c>
      <c r="J24" s="49" t="s">
        <v>21</v>
      </c>
      <c r="K24" s="49" t="s">
        <v>22</v>
      </c>
      <c r="L24" s="49" t="s">
        <v>47</v>
      </c>
      <c r="M24" s="49" t="s">
        <v>48</v>
      </c>
      <c r="N24" s="50" t="s">
        <v>45</v>
      </c>
    </row>
    <row r="25" spans="1:14" ht="14.95" thickBot="1" x14ac:dyDescent="0.3">
      <c r="A25" s="136" t="s">
        <v>777</v>
      </c>
      <c r="B25" s="216" t="s">
        <v>33</v>
      </c>
      <c r="C25" s="54">
        <v>3</v>
      </c>
      <c r="D25" s="53">
        <v>3</v>
      </c>
      <c r="E25" s="54">
        <v>0</v>
      </c>
      <c r="F25" s="54">
        <v>0</v>
      </c>
      <c r="G25" s="54">
        <v>165</v>
      </c>
      <c r="H25" s="54">
        <v>15</v>
      </c>
      <c r="I25" s="53">
        <f>SUM(G25-H25)</f>
        <v>150</v>
      </c>
      <c r="J25" s="54">
        <v>2</v>
      </c>
      <c r="K25" s="54">
        <v>0</v>
      </c>
      <c r="L25" s="54">
        <v>26</v>
      </c>
      <c r="M25" s="54">
        <v>2</v>
      </c>
      <c r="N25" s="53">
        <f>SUM(D25*4)+(E25*2)+J25+K25</f>
        <v>14</v>
      </c>
    </row>
    <row r="26" spans="1:14" ht="14.95" thickBot="1" x14ac:dyDescent="0.3">
      <c r="A26" s="136" t="s">
        <v>754</v>
      </c>
      <c r="B26" s="319" t="s">
        <v>307</v>
      </c>
      <c r="C26" s="54">
        <v>3</v>
      </c>
      <c r="D26" s="53">
        <v>2</v>
      </c>
      <c r="E26" s="54">
        <v>0</v>
      </c>
      <c r="F26" s="54">
        <v>1</v>
      </c>
      <c r="G26" s="54">
        <v>105</v>
      </c>
      <c r="H26" s="54">
        <v>87</v>
      </c>
      <c r="I26" s="53">
        <f>SUM(G26-H26)</f>
        <v>18</v>
      </c>
      <c r="J26" s="54">
        <v>2</v>
      </c>
      <c r="K26" s="54">
        <v>0</v>
      </c>
      <c r="L26" s="54">
        <v>16</v>
      </c>
      <c r="M26" s="54">
        <v>13</v>
      </c>
      <c r="N26" s="53">
        <f>SUM(D26*4)+(E26*2)+J26+K26</f>
        <v>10</v>
      </c>
    </row>
    <row r="27" spans="1:14" ht="14.95" thickBot="1" x14ac:dyDescent="0.3">
      <c r="A27" s="100">
        <v>3</v>
      </c>
      <c r="B27" s="318" t="s">
        <v>32</v>
      </c>
      <c r="C27" s="54">
        <v>3</v>
      </c>
      <c r="D27" s="53">
        <v>1</v>
      </c>
      <c r="E27" s="54">
        <v>0</v>
      </c>
      <c r="F27" s="54">
        <v>2</v>
      </c>
      <c r="G27" s="54">
        <v>88</v>
      </c>
      <c r="H27" s="54">
        <v>56</v>
      </c>
      <c r="I27" s="53">
        <f>SUM(G27-H27)</f>
        <v>32</v>
      </c>
      <c r="J27" s="54">
        <v>2</v>
      </c>
      <c r="K27" s="54">
        <v>1</v>
      </c>
      <c r="L27" s="54">
        <v>16</v>
      </c>
      <c r="M27" s="54">
        <v>8</v>
      </c>
      <c r="N27" s="53">
        <f>SUM(D27*4)+(E27*2)+J27+K27</f>
        <v>7</v>
      </c>
    </row>
    <row r="28" spans="1:14" ht="14.95" thickBot="1" x14ac:dyDescent="0.3">
      <c r="A28" s="100">
        <v>4</v>
      </c>
      <c r="B28" s="481" t="s">
        <v>243</v>
      </c>
      <c r="C28" s="54">
        <v>3</v>
      </c>
      <c r="D28" s="53">
        <v>0</v>
      </c>
      <c r="E28" s="54">
        <v>0</v>
      </c>
      <c r="F28" s="54">
        <v>3</v>
      </c>
      <c r="G28" s="54">
        <v>14</v>
      </c>
      <c r="H28" s="54">
        <v>214</v>
      </c>
      <c r="I28" s="53">
        <f>SUM(G28-H28)</f>
        <v>-200</v>
      </c>
      <c r="J28" s="54">
        <v>0</v>
      </c>
      <c r="K28" s="54">
        <v>0</v>
      </c>
      <c r="L28" s="54">
        <v>1</v>
      </c>
      <c r="M28" s="54">
        <v>36</v>
      </c>
      <c r="N28" s="53">
        <f>SUM(D28*4)+(E28*2)+J28+K28</f>
        <v>0</v>
      </c>
    </row>
    <row r="29" spans="1:14" x14ac:dyDescent="0.25">
      <c r="G29">
        <f>SUM(G25:G28)</f>
        <v>372</v>
      </c>
      <c r="H29">
        <f>SUM(H25:H28)</f>
        <v>372</v>
      </c>
      <c r="L29">
        <f>SUM(L25:L28)</f>
        <v>59</v>
      </c>
      <c r="M29">
        <f>SUM(M25:M28)</f>
        <v>59</v>
      </c>
    </row>
    <row r="30" spans="1:14" x14ac:dyDescent="0.25">
      <c r="A30" s="335" t="s">
        <v>53</v>
      </c>
      <c r="F30" s="73" t="s">
        <v>183</v>
      </c>
      <c r="G30" s="73"/>
      <c r="H30" s="362">
        <f>SUM(G8+G15+G22+G29)</f>
        <v>1467</v>
      </c>
      <c r="I30" s="73"/>
      <c r="J30" s="73"/>
      <c r="K30" s="73"/>
      <c r="L30" s="73"/>
      <c r="M30" s="362">
        <f>SUM(L8+L15+L22+L29)</f>
        <v>231</v>
      </c>
    </row>
    <row r="32" spans="1:14" x14ac:dyDescent="0.25">
      <c r="A32" t="s">
        <v>724</v>
      </c>
    </row>
    <row r="33" spans="1:1" x14ac:dyDescent="0.25">
      <c r="A33" t="s">
        <v>725</v>
      </c>
    </row>
    <row r="34" spans="1:1" x14ac:dyDescent="0.25">
      <c r="A34" t="s">
        <v>726</v>
      </c>
    </row>
    <row r="35" spans="1:1" x14ac:dyDescent="0.25">
      <c r="A35" t="s">
        <v>727</v>
      </c>
    </row>
    <row r="36" spans="1:1" x14ac:dyDescent="0.25">
      <c r="A36" t="s">
        <v>728</v>
      </c>
    </row>
    <row r="37" spans="1:1" x14ac:dyDescent="0.25">
      <c r="A37" t="s">
        <v>729</v>
      </c>
    </row>
    <row r="38" spans="1:1" x14ac:dyDescent="0.25">
      <c r="A38" t="s">
        <v>730</v>
      </c>
    </row>
    <row r="40" spans="1:1" x14ac:dyDescent="0.25">
      <c r="A40" s="667" t="s">
        <v>28</v>
      </c>
    </row>
  </sheetData>
  <sortState xmlns:xlrd2="http://schemas.microsoft.com/office/spreadsheetml/2017/richdata2" ref="A20:N21">
    <sortCondition descending="1" ref="N20:N21"/>
  </sortState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9B22C-D46B-4658-AA8B-358220664567}">
  <dimension ref="A1:I68"/>
  <sheetViews>
    <sheetView workbookViewId="0">
      <selection activeCell="H50" sqref="H50"/>
    </sheetView>
  </sheetViews>
  <sheetFormatPr defaultRowHeight="14.3" x14ac:dyDescent="0.25"/>
  <cols>
    <col min="1" max="1" width="11" bestFit="1" customWidth="1"/>
    <col min="2" max="2" width="11.5" bestFit="1" customWidth="1"/>
    <col min="3" max="3" width="2.875" bestFit="1" customWidth="1"/>
    <col min="4" max="4" width="1.75" customWidth="1"/>
    <col min="5" max="5" width="2.875" bestFit="1" customWidth="1"/>
    <col min="6" max="6" width="11.75" bestFit="1" customWidth="1"/>
    <col min="7" max="7" width="30" bestFit="1" customWidth="1"/>
  </cols>
  <sheetData>
    <row r="1" spans="1:9" x14ac:dyDescent="0.25">
      <c r="A1" s="474" t="s">
        <v>418</v>
      </c>
    </row>
    <row r="2" spans="1:9" x14ac:dyDescent="0.25">
      <c r="A2" s="475" t="s">
        <v>419</v>
      </c>
      <c r="C2" s="706"/>
      <c r="D2" s="707"/>
      <c r="E2" s="707"/>
      <c r="H2" s="547"/>
      <c r="I2" s="298"/>
    </row>
    <row r="3" spans="1:9" x14ac:dyDescent="0.25">
      <c r="A3" s="301" t="s">
        <v>232</v>
      </c>
      <c r="B3" s="205" t="s">
        <v>30</v>
      </c>
      <c r="C3" s="205">
        <v>69</v>
      </c>
      <c r="D3" s="206" t="s">
        <v>85</v>
      </c>
      <c r="E3" s="208">
        <v>7</v>
      </c>
      <c r="F3" s="205" t="s">
        <v>55</v>
      </c>
      <c r="G3" s="205" t="s">
        <v>577</v>
      </c>
    </row>
    <row r="4" spans="1:9" x14ac:dyDescent="0.25">
      <c r="A4" s="301" t="s">
        <v>240</v>
      </c>
      <c r="B4" s="359" t="s">
        <v>29</v>
      </c>
      <c r="C4" s="205">
        <v>73</v>
      </c>
      <c r="D4" s="206" t="s">
        <v>85</v>
      </c>
      <c r="E4" s="208">
        <v>0</v>
      </c>
      <c r="F4" s="205" t="s">
        <v>98</v>
      </c>
      <c r="G4" s="205" t="s">
        <v>595</v>
      </c>
    </row>
    <row r="5" spans="1:9" x14ac:dyDescent="0.25">
      <c r="A5" s="301" t="s">
        <v>234</v>
      </c>
      <c r="B5" s="359" t="s">
        <v>30</v>
      </c>
      <c r="C5" s="205">
        <v>92</v>
      </c>
      <c r="D5" s="206" t="s">
        <v>85</v>
      </c>
      <c r="E5" s="208">
        <v>3</v>
      </c>
      <c r="F5" s="205" t="s">
        <v>98</v>
      </c>
      <c r="G5" s="205" t="s">
        <v>592</v>
      </c>
    </row>
    <row r="6" spans="1:9" x14ac:dyDescent="0.25">
      <c r="A6" s="301" t="s">
        <v>234</v>
      </c>
      <c r="B6" s="205" t="s">
        <v>55</v>
      </c>
      <c r="C6" s="205">
        <v>31</v>
      </c>
      <c r="D6" s="206" t="s">
        <v>85</v>
      </c>
      <c r="E6" s="208">
        <v>31</v>
      </c>
      <c r="F6" s="205" t="s">
        <v>29</v>
      </c>
      <c r="G6" s="205" t="s">
        <v>593</v>
      </c>
    </row>
    <row r="7" spans="1:9" x14ac:dyDescent="0.25">
      <c r="A7" s="301" t="s">
        <v>172</v>
      </c>
      <c r="B7" s="205" t="s">
        <v>55</v>
      </c>
      <c r="C7" s="205">
        <v>60</v>
      </c>
      <c r="D7" s="206" t="s">
        <v>85</v>
      </c>
      <c r="E7" s="208">
        <v>0</v>
      </c>
      <c r="F7" s="205" t="s">
        <v>98</v>
      </c>
      <c r="G7" s="205" t="s">
        <v>593</v>
      </c>
    </row>
    <row r="8" spans="1:9" x14ac:dyDescent="0.25">
      <c r="A8" s="301" t="s">
        <v>172</v>
      </c>
      <c r="B8" s="205" t="s">
        <v>30</v>
      </c>
      <c r="C8" s="205">
        <v>47</v>
      </c>
      <c r="D8" s="206" t="s">
        <v>85</v>
      </c>
      <c r="E8" s="208">
        <v>7</v>
      </c>
      <c r="F8" s="205" t="s">
        <v>29</v>
      </c>
      <c r="G8" s="205" t="s">
        <v>594</v>
      </c>
    </row>
    <row r="9" spans="1:9" x14ac:dyDescent="0.25">
      <c r="E9" s="112"/>
      <c r="G9" s="73"/>
    </row>
    <row r="10" spans="1:9" x14ac:dyDescent="0.25">
      <c r="A10" s="475" t="s">
        <v>420</v>
      </c>
      <c r="C10" s="706"/>
      <c r="D10" s="707"/>
      <c r="E10" s="707"/>
      <c r="G10" s="73"/>
    </row>
    <row r="11" spans="1:9" x14ac:dyDescent="0.25">
      <c r="A11" s="301" t="s">
        <v>240</v>
      </c>
      <c r="B11" s="208" t="s">
        <v>34</v>
      </c>
      <c r="C11" s="205">
        <v>38</v>
      </c>
      <c r="D11" s="206" t="s">
        <v>85</v>
      </c>
      <c r="E11" s="208">
        <v>8</v>
      </c>
      <c r="F11" s="205" t="s">
        <v>31</v>
      </c>
      <c r="G11" s="205" t="s">
        <v>595</v>
      </c>
    </row>
    <row r="12" spans="1:9" x14ac:dyDescent="0.25">
      <c r="A12" s="301" t="s">
        <v>240</v>
      </c>
      <c r="B12" s="539" t="s">
        <v>36</v>
      </c>
      <c r="C12" s="205">
        <v>65</v>
      </c>
      <c r="D12" s="206" t="s">
        <v>85</v>
      </c>
      <c r="E12" s="208">
        <v>7</v>
      </c>
      <c r="F12" s="205" t="s">
        <v>166</v>
      </c>
      <c r="G12" s="205" t="s">
        <v>593</v>
      </c>
    </row>
    <row r="13" spans="1:9" x14ac:dyDescent="0.25">
      <c r="A13" s="301" t="s">
        <v>234</v>
      </c>
      <c r="B13" s="539" t="s">
        <v>36</v>
      </c>
      <c r="C13" s="205">
        <v>42</v>
      </c>
      <c r="D13" s="206" t="s">
        <v>85</v>
      </c>
      <c r="E13" s="208">
        <v>0</v>
      </c>
      <c r="F13" s="205" t="s">
        <v>31</v>
      </c>
      <c r="G13" s="205" t="s">
        <v>595</v>
      </c>
    </row>
    <row r="14" spans="1:9" x14ac:dyDescent="0.25">
      <c r="A14" s="301" t="s">
        <v>234</v>
      </c>
      <c r="B14" s="539" t="s">
        <v>34</v>
      </c>
      <c r="C14" s="205">
        <v>29</v>
      </c>
      <c r="D14" s="206" t="s">
        <v>85</v>
      </c>
      <c r="E14" s="208">
        <v>15</v>
      </c>
      <c r="F14" s="205" t="s">
        <v>166</v>
      </c>
      <c r="G14" s="205" t="s">
        <v>595</v>
      </c>
    </row>
    <row r="15" spans="1:9" x14ac:dyDescent="0.25">
      <c r="A15" s="301" t="s">
        <v>172</v>
      </c>
      <c r="B15" s="539" t="s">
        <v>36</v>
      </c>
      <c r="C15" s="205">
        <v>40</v>
      </c>
      <c r="D15" s="206" t="s">
        <v>85</v>
      </c>
      <c r="E15" s="208">
        <v>19</v>
      </c>
      <c r="F15" s="205" t="s">
        <v>34</v>
      </c>
      <c r="G15" s="205" t="s">
        <v>596</v>
      </c>
    </row>
    <row r="16" spans="1:9" x14ac:dyDescent="0.25">
      <c r="A16" s="301" t="s">
        <v>172</v>
      </c>
      <c r="B16" s="539" t="s">
        <v>31</v>
      </c>
      <c r="C16" s="205">
        <v>25</v>
      </c>
      <c r="D16" s="206" t="s">
        <v>85</v>
      </c>
      <c r="E16" s="208">
        <v>28</v>
      </c>
      <c r="F16" s="205" t="s">
        <v>166</v>
      </c>
      <c r="G16" s="205" t="s">
        <v>596</v>
      </c>
    </row>
    <row r="17" spans="1:7" x14ac:dyDescent="0.25">
      <c r="A17" s="335" t="s">
        <v>53</v>
      </c>
    </row>
    <row r="18" spans="1:7" x14ac:dyDescent="0.25">
      <c r="A18" s="475" t="s">
        <v>421</v>
      </c>
      <c r="C18" s="706"/>
      <c r="D18" s="707"/>
      <c r="E18" s="707"/>
      <c r="G18" s="73"/>
    </row>
    <row r="19" spans="1:7" x14ac:dyDescent="0.25">
      <c r="A19" s="301" t="s">
        <v>245</v>
      </c>
      <c r="B19" s="208" t="s">
        <v>35</v>
      </c>
      <c r="C19" s="205">
        <v>42</v>
      </c>
      <c r="D19" s="206" t="s">
        <v>85</v>
      </c>
      <c r="E19" s="208">
        <v>14</v>
      </c>
      <c r="F19" s="205" t="s">
        <v>99</v>
      </c>
      <c r="G19" s="205" t="s">
        <v>592</v>
      </c>
    </row>
    <row r="20" spans="1:7" x14ac:dyDescent="0.25">
      <c r="A20" s="301" t="s">
        <v>245</v>
      </c>
      <c r="B20" s="539" t="s">
        <v>157</v>
      </c>
      <c r="C20" s="205">
        <v>54</v>
      </c>
      <c r="D20" s="206" t="s">
        <v>85</v>
      </c>
      <c r="E20" s="208">
        <v>8</v>
      </c>
      <c r="F20" s="205" t="s">
        <v>133</v>
      </c>
      <c r="G20" s="205" t="s">
        <v>593</v>
      </c>
    </row>
    <row r="21" spans="1:7" x14ac:dyDescent="0.25">
      <c r="A21" s="301" t="s">
        <v>242</v>
      </c>
      <c r="B21" s="539" t="s">
        <v>35</v>
      </c>
      <c r="C21" s="205">
        <v>43</v>
      </c>
      <c r="D21" s="206" t="s">
        <v>85</v>
      </c>
      <c r="E21" s="208">
        <v>27</v>
      </c>
      <c r="F21" s="205" t="s">
        <v>133</v>
      </c>
      <c r="G21" s="205" t="s">
        <v>592</v>
      </c>
    </row>
    <row r="22" spans="1:7" x14ac:dyDescent="0.25">
      <c r="A22" s="301" t="s">
        <v>242</v>
      </c>
      <c r="B22" s="539" t="s">
        <v>157</v>
      </c>
      <c r="C22" s="205">
        <v>62</v>
      </c>
      <c r="D22" s="206" t="s">
        <v>85</v>
      </c>
      <c r="E22" s="208">
        <v>19</v>
      </c>
      <c r="F22" s="205" t="s">
        <v>99</v>
      </c>
      <c r="G22" s="205" t="s">
        <v>596</v>
      </c>
    </row>
    <row r="23" spans="1:7" x14ac:dyDescent="0.25">
      <c r="A23" s="301" t="s">
        <v>174</v>
      </c>
      <c r="B23" s="539" t="s">
        <v>99</v>
      </c>
      <c r="C23" s="205">
        <v>29</v>
      </c>
      <c r="D23" s="206" t="s">
        <v>85</v>
      </c>
      <c r="E23" s="208">
        <v>21</v>
      </c>
      <c r="F23" s="205" t="s">
        <v>133</v>
      </c>
      <c r="G23" s="205" t="s">
        <v>593</v>
      </c>
    </row>
    <row r="24" spans="1:7" x14ac:dyDescent="0.25">
      <c r="A24" s="301" t="s">
        <v>174</v>
      </c>
      <c r="B24" s="539" t="s">
        <v>157</v>
      </c>
      <c r="C24" s="205">
        <v>40</v>
      </c>
      <c r="D24" s="206" t="s">
        <v>85</v>
      </c>
      <c r="E24" s="208">
        <v>0</v>
      </c>
      <c r="F24" s="205" t="s">
        <v>35</v>
      </c>
      <c r="G24" s="205" t="s">
        <v>594</v>
      </c>
    </row>
    <row r="26" spans="1:7" x14ac:dyDescent="0.25">
      <c r="A26" s="475" t="s">
        <v>422</v>
      </c>
      <c r="C26" s="706"/>
      <c r="D26" s="707"/>
      <c r="E26" s="707"/>
      <c r="G26" s="73"/>
    </row>
    <row r="27" spans="1:7" x14ac:dyDescent="0.25">
      <c r="A27" s="301" t="s">
        <v>240</v>
      </c>
      <c r="B27" s="208" t="s">
        <v>33</v>
      </c>
      <c r="C27" s="205">
        <v>24</v>
      </c>
      <c r="D27" s="206" t="s">
        <v>85</v>
      </c>
      <c r="E27" s="208">
        <v>0</v>
      </c>
      <c r="F27" s="205" t="s">
        <v>32</v>
      </c>
      <c r="G27" s="205" t="s">
        <v>596</v>
      </c>
    </row>
    <row r="28" spans="1:7" x14ac:dyDescent="0.25">
      <c r="A28" s="301" t="s">
        <v>245</v>
      </c>
      <c r="B28" s="539" t="s">
        <v>307</v>
      </c>
      <c r="C28" s="205">
        <v>66</v>
      </c>
      <c r="D28" s="206" t="s">
        <v>85</v>
      </c>
      <c r="E28" s="208">
        <v>6</v>
      </c>
      <c r="F28" s="205" t="s">
        <v>243</v>
      </c>
      <c r="G28" s="205" t="s">
        <v>592</v>
      </c>
    </row>
    <row r="29" spans="1:7" x14ac:dyDescent="0.25">
      <c r="A29" s="301" t="s">
        <v>242</v>
      </c>
      <c r="B29" s="539" t="s">
        <v>32</v>
      </c>
      <c r="C29" s="205">
        <v>24</v>
      </c>
      <c r="D29" s="206" t="s">
        <v>85</v>
      </c>
      <c r="E29" s="208">
        <v>29</v>
      </c>
      <c r="F29" s="205" t="s">
        <v>307</v>
      </c>
      <c r="G29" s="205" t="s">
        <v>593</v>
      </c>
    </row>
    <row r="30" spans="1:7" x14ac:dyDescent="0.25">
      <c r="A30" s="301" t="s">
        <v>242</v>
      </c>
      <c r="B30" s="539" t="s">
        <v>33</v>
      </c>
      <c r="C30" s="205">
        <v>84</v>
      </c>
      <c r="D30" s="206" t="s">
        <v>85</v>
      </c>
      <c r="E30" s="208">
        <v>5</v>
      </c>
      <c r="F30" s="205" t="s">
        <v>243</v>
      </c>
      <c r="G30" s="205" t="s">
        <v>596</v>
      </c>
    </row>
    <row r="31" spans="1:7" x14ac:dyDescent="0.25">
      <c r="A31" s="301" t="s">
        <v>174</v>
      </c>
      <c r="B31" s="539" t="s">
        <v>32</v>
      </c>
      <c r="C31" s="205">
        <v>64</v>
      </c>
      <c r="D31" s="206" t="s">
        <v>85</v>
      </c>
      <c r="E31" s="208">
        <v>3</v>
      </c>
      <c r="F31" s="205" t="s">
        <v>243</v>
      </c>
      <c r="G31" s="205" t="s">
        <v>592</v>
      </c>
    </row>
    <row r="32" spans="1:7" x14ac:dyDescent="0.25">
      <c r="A32" s="301" t="s">
        <v>174</v>
      </c>
      <c r="B32" s="539" t="s">
        <v>33</v>
      </c>
      <c r="C32" s="205">
        <v>57</v>
      </c>
      <c r="D32" s="206" t="s">
        <v>85</v>
      </c>
      <c r="E32" s="208">
        <v>10</v>
      </c>
      <c r="F32" s="205" t="s">
        <v>307</v>
      </c>
      <c r="G32" s="205" t="s">
        <v>592</v>
      </c>
    </row>
    <row r="34" spans="1:7" x14ac:dyDescent="0.25">
      <c r="A34" s="475" t="s">
        <v>423</v>
      </c>
      <c r="C34" s="706"/>
      <c r="D34" s="707"/>
      <c r="E34" s="707"/>
      <c r="G34" s="73"/>
    </row>
    <row r="35" spans="1:7" x14ac:dyDescent="0.25">
      <c r="A35" s="301" t="s">
        <v>597</v>
      </c>
      <c r="B35" s="539" t="s">
        <v>157</v>
      </c>
      <c r="C35" s="205">
        <v>46</v>
      </c>
      <c r="D35" s="206" t="s">
        <v>85</v>
      </c>
      <c r="E35" s="208">
        <v>17</v>
      </c>
      <c r="F35" s="205" t="s">
        <v>307</v>
      </c>
      <c r="G35" s="205" t="s">
        <v>596</v>
      </c>
    </row>
    <row r="36" spans="1:7" x14ac:dyDescent="0.25">
      <c r="A36" s="301" t="s">
        <v>597</v>
      </c>
      <c r="B36" s="539" t="s">
        <v>36</v>
      </c>
      <c r="C36" s="205">
        <v>46</v>
      </c>
      <c r="D36" s="206" t="s">
        <v>85</v>
      </c>
      <c r="E36" s="208">
        <v>5</v>
      </c>
      <c r="F36" s="205" t="s">
        <v>29</v>
      </c>
      <c r="G36" s="205" t="s">
        <v>598</v>
      </c>
    </row>
    <row r="37" spans="1:7" x14ac:dyDescent="0.25">
      <c r="A37" s="301" t="s">
        <v>599</v>
      </c>
      <c r="B37" s="539" t="s">
        <v>33</v>
      </c>
      <c r="C37" s="205">
        <v>18</v>
      </c>
      <c r="D37" s="206" t="s">
        <v>85</v>
      </c>
      <c r="E37" s="208">
        <v>13</v>
      </c>
      <c r="F37" s="205" t="s">
        <v>35</v>
      </c>
      <c r="G37" s="205" t="s">
        <v>596</v>
      </c>
    </row>
    <row r="38" spans="1:7" x14ac:dyDescent="0.25">
      <c r="A38" s="301" t="s">
        <v>599</v>
      </c>
      <c r="B38" s="539" t="s">
        <v>30</v>
      </c>
      <c r="C38" s="205">
        <v>40</v>
      </c>
      <c r="D38" s="206" t="s">
        <v>85</v>
      </c>
      <c r="E38" s="208">
        <v>8</v>
      </c>
      <c r="F38" s="205" t="s">
        <v>34</v>
      </c>
      <c r="G38" s="205" t="s">
        <v>598</v>
      </c>
    </row>
    <row r="40" spans="1:7" x14ac:dyDescent="0.25">
      <c r="A40" s="475" t="s">
        <v>424</v>
      </c>
      <c r="C40" s="706"/>
      <c r="D40" s="707"/>
      <c r="E40" s="707"/>
      <c r="G40" s="73"/>
    </row>
    <row r="41" spans="1:7" x14ac:dyDescent="0.25">
      <c r="A41" s="301" t="s">
        <v>600</v>
      </c>
      <c r="B41" s="539" t="s">
        <v>157</v>
      </c>
      <c r="C41" s="205">
        <v>19</v>
      </c>
      <c r="D41" s="206" t="s">
        <v>85</v>
      </c>
      <c r="E41" s="208">
        <v>34</v>
      </c>
      <c r="F41" s="205" t="s">
        <v>36</v>
      </c>
      <c r="G41" s="205" t="s">
        <v>598</v>
      </c>
    </row>
    <row r="42" spans="1:7" x14ac:dyDescent="0.25">
      <c r="A42" s="301" t="s">
        <v>601</v>
      </c>
      <c r="B42" s="539" t="s">
        <v>33</v>
      </c>
      <c r="C42" s="205">
        <v>17</v>
      </c>
      <c r="D42" s="206" t="s">
        <v>85</v>
      </c>
      <c r="E42" s="208">
        <v>35</v>
      </c>
      <c r="F42" s="205" t="s">
        <v>30</v>
      </c>
      <c r="G42" s="205" t="s">
        <v>598</v>
      </c>
    </row>
    <row r="43" spans="1:7" x14ac:dyDescent="0.25">
      <c r="A43" s="540"/>
      <c r="B43" s="541"/>
      <c r="C43" s="542"/>
      <c r="D43" s="543"/>
      <c r="E43" s="544"/>
      <c r="F43" s="542"/>
      <c r="G43" s="542"/>
    </row>
    <row r="44" spans="1:7" x14ac:dyDescent="0.25">
      <c r="A44" s="475" t="s">
        <v>425</v>
      </c>
      <c r="C44" s="706"/>
      <c r="D44" s="707"/>
      <c r="E44" s="707"/>
      <c r="G44" s="73"/>
    </row>
    <row r="45" spans="1:7" x14ac:dyDescent="0.25">
      <c r="A45" s="301" t="s">
        <v>602</v>
      </c>
      <c r="B45" s="539" t="s">
        <v>157</v>
      </c>
      <c r="C45" s="205">
        <v>42</v>
      </c>
      <c r="D45" s="206" t="s">
        <v>85</v>
      </c>
      <c r="E45" s="208">
        <v>26</v>
      </c>
      <c r="F45" s="539" t="s">
        <v>33</v>
      </c>
      <c r="G45" s="205" t="s">
        <v>176</v>
      </c>
    </row>
    <row r="47" spans="1:7" x14ac:dyDescent="0.25">
      <c r="A47" s="475" t="s">
        <v>426</v>
      </c>
      <c r="C47" s="706"/>
      <c r="D47" s="707"/>
      <c r="E47" s="707"/>
      <c r="G47" s="73"/>
    </row>
    <row r="48" spans="1:7" x14ac:dyDescent="0.25">
      <c r="A48" s="301" t="s">
        <v>602</v>
      </c>
      <c r="B48" s="205" t="s">
        <v>36</v>
      </c>
      <c r="C48" s="205">
        <v>13</v>
      </c>
      <c r="D48" s="206" t="s">
        <v>85</v>
      </c>
      <c r="E48" s="208">
        <v>33</v>
      </c>
      <c r="F48" s="205" t="s">
        <v>30</v>
      </c>
      <c r="G48" s="205" t="s">
        <v>176</v>
      </c>
    </row>
    <row r="49" spans="1:2" ht="16.3" x14ac:dyDescent="0.3">
      <c r="A49" s="681" t="s">
        <v>28</v>
      </c>
    </row>
    <row r="62" spans="1:2" x14ac:dyDescent="0.25">
      <c r="A62">
        <f>SUM(C1:C32)</f>
        <v>1200</v>
      </c>
      <c r="B62">
        <f>SUM(E1:E32)</f>
        <v>267</v>
      </c>
    </row>
    <row r="63" spans="1:2" x14ac:dyDescent="0.25">
      <c r="B63">
        <f>SUM(A62+B62)</f>
        <v>1467</v>
      </c>
    </row>
    <row r="66" spans="1:2" x14ac:dyDescent="0.25">
      <c r="A66">
        <f>SUM(C35:C48)</f>
        <v>241</v>
      </c>
      <c r="B66">
        <f>SUM(E35:E48)</f>
        <v>171</v>
      </c>
    </row>
    <row r="67" spans="1:2" x14ac:dyDescent="0.25">
      <c r="B67">
        <f>SUM(A66+B66)</f>
        <v>412</v>
      </c>
    </row>
    <row r="68" spans="1:2" x14ac:dyDescent="0.25">
      <c r="B68">
        <f>SUM(B63+B67)</f>
        <v>1879</v>
      </c>
    </row>
  </sheetData>
  <mergeCells count="8">
    <mergeCell ref="C40:E40"/>
    <mergeCell ref="C44:E44"/>
    <mergeCell ref="C47:E47"/>
    <mergeCell ref="C18:E18"/>
    <mergeCell ref="C2:E2"/>
    <mergeCell ref="C10:E10"/>
    <mergeCell ref="C26:E26"/>
    <mergeCell ref="C34:E3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180</vt:i4>
      </vt:variant>
    </vt:vector>
  </HeadingPairs>
  <TitlesOfParts>
    <vt:vector size="207" baseType="lpstr">
      <vt:lpstr>Res</vt:lpstr>
      <vt:lpstr>6N Tab</vt:lpstr>
      <vt:lpstr>6N Res</vt:lpstr>
      <vt:lpstr>6N Cds</vt:lpstr>
      <vt:lpstr>P4 Tab</vt:lpstr>
      <vt:lpstr>P4 Res</vt:lpstr>
      <vt:lpstr>P4 Cds</vt:lpstr>
      <vt:lpstr>WC Tabs</vt:lpstr>
      <vt:lpstr>WC Res</vt:lpstr>
      <vt:lpstr>WC Stats</vt:lpstr>
      <vt:lpstr>WC Cds</vt:lpstr>
      <vt:lpstr>AUS</vt:lpstr>
      <vt:lpstr>BRA</vt:lpstr>
      <vt:lpstr>CAN</vt:lpstr>
      <vt:lpstr>ENG</vt:lpstr>
      <vt:lpstr>FIJ</vt:lpstr>
      <vt:lpstr>FRA</vt:lpstr>
      <vt:lpstr>IRE</vt:lpstr>
      <vt:lpstr>ITA</vt:lpstr>
      <vt:lpstr>JPN</vt:lpstr>
      <vt:lpstr>NZL</vt:lpstr>
      <vt:lpstr>SAM</vt:lpstr>
      <vt:lpstr>SCO</vt:lpstr>
      <vt:lpstr>RSA</vt:lpstr>
      <vt:lpstr>ESP</vt:lpstr>
      <vt:lpstr>USA</vt:lpstr>
      <vt:lpstr>WAL</vt:lpstr>
      <vt:lpstr>ausp4drawn</vt:lpstr>
      <vt:lpstr>ausp4lb</vt:lpstr>
      <vt:lpstr>ausp4lost</vt:lpstr>
      <vt:lpstr>ausp4played</vt:lpstr>
      <vt:lpstr>ausp4ptsconc</vt:lpstr>
      <vt:lpstr>ausp4ptsscored</vt:lpstr>
      <vt:lpstr>ausp4rc</vt:lpstr>
      <vt:lpstr>ausp4tb</vt:lpstr>
      <vt:lpstr>ausp4triesconc</vt:lpstr>
      <vt:lpstr>ausp4triesscored</vt:lpstr>
      <vt:lpstr>ausp4won</vt:lpstr>
      <vt:lpstr>ausp4yc</vt:lpstr>
      <vt:lpstr>canp4drawn</vt:lpstr>
      <vt:lpstr>canp4lb</vt:lpstr>
      <vt:lpstr>canp4lost</vt:lpstr>
      <vt:lpstr>canp4played</vt:lpstr>
      <vt:lpstr>canp4ptsconc</vt:lpstr>
      <vt:lpstr>canp4ptsscored</vt:lpstr>
      <vt:lpstr>canp4rc</vt:lpstr>
      <vt:lpstr>canp4tb</vt:lpstr>
      <vt:lpstr>canp4triesconc</vt:lpstr>
      <vt:lpstr>canp4triesscored</vt:lpstr>
      <vt:lpstr>canp4won</vt:lpstr>
      <vt:lpstr>canp4yc</vt:lpstr>
      <vt:lpstr>Eng2019alltestsdrawn</vt:lpstr>
      <vt:lpstr>Eng2019alltestslost</vt:lpstr>
      <vt:lpstr>Eng2019alltestsplayed</vt:lpstr>
      <vt:lpstr>Eng2019alltestsptsagainst</vt:lpstr>
      <vt:lpstr>Eng2019alltestsptsscored</vt:lpstr>
      <vt:lpstr>Eng2019allteststriescon</vt:lpstr>
      <vt:lpstr>Eng2019allteststriesscored</vt:lpstr>
      <vt:lpstr>Eng2019alltestswon</vt:lpstr>
      <vt:lpstr>eng6nrc</vt:lpstr>
      <vt:lpstr>eng6nyc</vt:lpstr>
      <vt:lpstr>Englanddrawn</vt:lpstr>
      <vt:lpstr>Englandlosingbonus</vt:lpstr>
      <vt:lpstr>Englandlost</vt:lpstr>
      <vt:lpstr>Englandplayed</vt:lpstr>
      <vt:lpstr>Englandptsagainst</vt:lpstr>
      <vt:lpstr>Englandptsscored</vt:lpstr>
      <vt:lpstr>Englandred</vt:lpstr>
      <vt:lpstr>Englandtriesagainst</vt:lpstr>
      <vt:lpstr>Englandtriesscored</vt:lpstr>
      <vt:lpstr>Englandtrybonus</vt:lpstr>
      <vt:lpstr>Englandwon</vt:lpstr>
      <vt:lpstr>Englandyellow</vt:lpstr>
      <vt:lpstr>Fra2019alltestsdrawn</vt:lpstr>
      <vt:lpstr>Fra2019alltestslost</vt:lpstr>
      <vt:lpstr>Fra2019alltestsplayed</vt:lpstr>
      <vt:lpstr>Fra2019alltestsptsagainst</vt:lpstr>
      <vt:lpstr>Fra2019alltestsptsscored</vt:lpstr>
      <vt:lpstr>Fra2019allteststriescon</vt:lpstr>
      <vt:lpstr>Fra2019allteststriesscored</vt:lpstr>
      <vt:lpstr>Fra2019alltestswon</vt:lpstr>
      <vt:lpstr>fra6nrc</vt:lpstr>
      <vt:lpstr>fra6nyc</vt:lpstr>
      <vt:lpstr>Francedrawn</vt:lpstr>
      <vt:lpstr>Francelosingbonus</vt:lpstr>
      <vt:lpstr>Francelost</vt:lpstr>
      <vt:lpstr>Franceplayed</vt:lpstr>
      <vt:lpstr>Franceptsagainst</vt:lpstr>
      <vt:lpstr>Franceptsscored</vt:lpstr>
      <vt:lpstr>Francered</vt:lpstr>
      <vt:lpstr>Francetriesagainst</vt:lpstr>
      <vt:lpstr>Francetriesscored</vt:lpstr>
      <vt:lpstr>Francetrybonus</vt:lpstr>
      <vt:lpstr>Francewon</vt:lpstr>
      <vt:lpstr>FRanceyellow</vt:lpstr>
      <vt:lpstr>Ire2019alltestsdrawn</vt:lpstr>
      <vt:lpstr>Ire2019alltestslost</vt:lpstr>
      <vt:lpstr>Ire2019alltestsplayed</vt:lpstr>
      <vt:lpstr>Ire2019alltestsptscon</vt:lpstr>
      <vt:lpstr>Ire2019alltestsptsscored</vt:lpstr>
      <vt:lpstr>Ire2019allteststriescon</vt:lpstr>
      <vt:lpstr>Ire2019allteststriesscored</vt:lpstr>
      <vt:lpstr>Ire2019alltestswon</vt:lpstr>
      <vt:lpstr>ire6nrc</vt:lpstr>
      <vt:lpstr>ire6nyc</vt:lpstr>
      <vt:lpstr>Irelanddrawn</vt:lpstr>
      <vt:lpstr>Irelandlosingbonus</vt:lpstr>
      <vt:lpstr>Irelandlost</vt:lpstr>
      <vt:lpstr>Irelandplayed</vt:lpstr>
      <vt:lpstr>Irelandptsagainst</vt:lpstr>
      <vt:lpstr>Irelandptsscored</vt:lpstr>
      <vt:lpstr>Irelandred</vt:lpstr>
      <vt:lpstr>Irelandtriesagainst</vt:lpstr>
      <vt:lpstr>Irelandtriesscored</vt:lpstr>
      <vt:lpstr>Irelandtrybonus</vt:lpstr>
      <vt:lpstr>Irelandwon</vt:lpstr>
      <vt:lpstr>Irelandyellow</vt:lpstr>
      <vt:lpstr>ita2019alltestsdrawn</vt:lpstr>
      <vt:lpstr>ita2019alltestslost</vt:lpstr>
      <vt:lpstr>ita2019alltestsplayed</vt:lpstr>
      <vt:lpstr>ita2019alltestsptscon</vt:lpstr>
      <vt:lpstr>ita2019alltestsptsscored</vt:lpstr>
      <vt:lpstr>ita2019allteststriescon</vt:lpstr>
      <vt:lpstr>ita2019allteststriesscored</vt:lpstr>
      <vt:lpstr>ita2019alltestswon</vt:lpstr>
      <vt:lpstr>ita6nrc</vt:lpstr>
      <vt:lpstr>ita6nyc</vt:lpstr>
      <vt:lpstr>Italydrawn</vt:lpstr>
      <vt:lpstr>Italylosingbonus</vt:lpstr>
      <vt:lpstr>Italylost</vt:lpstr>
      <vt:lpstr>Italyplayed</vt:lpstr>
      <vt:lpstr>Italyptsagainst</vt:lpstr>
      <vt:lpstr>Italyptsscored</vt:lpstr>
      <vt:lpstr>Italyred</vt:lpstr>
      <vt:lpstr>Italytriesagainst</vt:lpstr>
      <vt:lpstr>Italytriesscored</vt:lpstr>
      <vt:lpstr>Italytrybonus</vt:lpstr>
      <vt:lpstr>Italywon</vt:lpstr>
      <vt:lpstr>Italyyellow</vt:lpstr>
      <vt:lpstr>nzlp4drawn</vt:lpstr>
      <vt:lpstr>nzlp4lb</vt:lpstr>
      <vt:lpstr>nzlp4lost</vt:lpstr>
      <vt:lpstr>nzlp4played</vt:lpstr>
      <vt:lpstr>nzlp4ptsconc</vt:lpstr>
      <vt:lpstr>nzlp4ptsscored</vt:lpstr>
      <vt:lpstr>nzlp4rc</vt:lpstr>
      <vt:lpstr>nzlp4tb</vt:lpstr>
      <vt:lpstr>nzlp4triesconc</vt:lpstr>
      <vt:lpstr>nzlp4triesscored</vt:lpstr>
      <vt:lpstr>nzlp4won</vt:lpstr>
      <vt:lpstr>nzlp4yc</vt:lpstr>
      <vt:lpstr>Sco2019alltestsdrawn</vt:lpstr>
      <vt:lpstr>Sco2019alltestslost</vt:lpstr>
      <vt:lpstr>Sco2019alltestsplayed</vt:lpstr>
      <vt:lpstr>Sco2019alltestsptsagainst</vt:lpstr>
      <vt:lpstr>Sco2019alltestsptsscored</vt:lpstr>
      <vt:lpstr>Sco2019allteststriescon</vt:lpstr>
      <vt:lpstr>Sco2019allteststriesscored</vt:lpstr>
      <vt:lpstr>Sco2019alltestswon</vt:lpstr>
      <vt:lpstr>sco6nrc</vt:lpstr>
      <vt:lpstr>sco6nyc</vt:lpstr>
      <vt:lpstr>Scotlanddrawn</vt:lpstr>
      <vt:lpstr>Scotlandlosingbonus</vt:lpstr>
      <vt:lpstr>Scotlandlost</vt:lpstr>
      <vt:lpstr>Scotlandplayed</vt:lpstr>
      <vt:lpstr>Scotlandptsagainst</vt:lpstr>
      <vt:lpstr>Scotlandptsscored</vt:lpstr>
      <vt:lpstr>Scotlandred</vt:lpstr>
      <vt:lpstr>Scotlandtriesagainst</vt:lpstr>
      <vt:lpstr>Scotlandtriesscored</vt:lpstr>
      <vt:lpstr>Scotlandtrybonus</vt:lpstr>
      <vt:lpstr>Scotlandwon</vt:lpstr>
      <vt:lpstr>Scotlandyellow</vt:lpstr>
      <vt:lpstr>usap4drawn</vt:lpstr>
      <vt:lpstr>usap4lb</vt:lpstr>
      <vt:lpstr>usap4lost</vt:lpstr>
      <vt:lpstr>usap4played</vt:lpstr>
      <vt:lpstr>usap4ptsconc</vt:lpstr>
      <vt:lpstr>usap4ptsscored</vt:lpstr>
      <vt:lpstr>usap4rc</vt:lpstr>
      <vt:lpstr>usap4tb</vt:lpstr>
      <vt:lpstr>usap4triesconc</vt:lpstr>
      <vt:lpstr>usap4triesscored</vt:lpstr>
      <vt:lpstr>usap4won</vt:lpstr>
      <vt:lpstr>usap4yc</vt:lpstr>
      <vt:lpstr>Wal2019alltestsdrawn</vt:lpstr>
      <vt:lpstr>Wal2019alltestslostcorrect</vt:lpstr>
      <vt:lpstr>Wal2019alltestsplayed</vt:lpstr>
      <vt:lpstr>Wal2019alltestsptscon</vt:lpstr>
      <vt:lpstr>Wal2019alltestsptsscored</vt:lpstr>
      <vt:lpstr>Wal2019allteststriescon</vt:lpstr>
      <vt:lpstr>Wal2019allteststriesscored</vt:lpstr>
      <vt:lpstr>Wal2019alltestswon</vt:lpstr>
      <vt:lpstr>wal6nrc</vt:lpstr>
      <vt:lpstr>wal6nyc</vt:lpstr>
      <vt:lpstr>Walesdrawn</vt:lpstr>
      <vt:lpstr>Waleslosingbonus</vt:lpstr>
      <vt:lpstr>Waleslost</vt:lpstr>
      <vt:lpstr>Walesplayed</vt:lpstr>
      <vt:lpstr>Walesptsagainst</vt:lpstr>
      <vt:lpstr>Walesptsscored</vt:lpstr>
      <vt:lpstr>Walesred</vt:lpstr>
      <vt:lpstr>Walestriesagainst</vt:lpstr>
      <vt:lpstr>Walestriesscored</vt:lpstr>
      <vt:lpstr>Walestrybonus</vt:lpstr>
      <vt:lpstr>Waleswon</vt:lpstr>
      <vt:lpstr>Walesyellow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</dc:creator>
  <cp:lastModifiedBy>Ade Hill</cp:lastModifiedBy>
  <cp:lastPrinted>2014-11-10T19:20:47Z</cp:lastPrinted>
  <dcterms:created xsi:type="dcterms:W3CDTF">2013-06-01T17:42:48Z</dcterms:created>
  <dcterms:modified xsi:type="dcterms:W3CDTF">2025-12-08T14:53:52Z</dcterms:modified>
</cp:coreProperties>
</file>